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9040" windowHeight="16440"/>
  </bookViews>
  <sheets>
    <sheet name="Heat Pump Calculator" sheetId="3" r:id="rId1"/>
    <sheet name="Sheet1" sheetId="1" state="hidden" r:id="rId2"/>
    <sheet name="Lookup" sheetId="2" state="hidden" r:id="rId3"/>
    <sheet name="Calculations" sheetId="6" state="hidden" r:id="rId4"/>
    <sheet name="Sheet2" sheetId="7" state="hidden" r:id="rId5"/>
  </sheets>
  <definedNames>
    <definedName name="calCostPerHour">Calculations!$C$10</definedName>
    <definedName name="calLocationHoursFactor">Calculations!$C$12</definedName>
    <definedName name="calPoolCapacity">'Heat Pump Calculator'!$D$15</definedName>
    <definedName name="calPoolTempFactor">Calculations!$C$11</definedName>
    <definedName name="calPowerDraw">Calculations!$C$9</definedName>
    <definedName name="calRecomendedUnit">Calculations!$C$7</definedName>
    <definedName name="calSeason">Calculations!$C$6</definedName>
    <definedName name="calSelectedHeater">'Heat Pump Calculator'!$C$37</definedName>
    <definedName name="calUpgradeFactor">Calculations!$C$13</definedName>
    <definedName name="ddLocation">OFFSET(Lookup!$D$1,1,0,COUNTA(Lookup!$D:$D)-1,1)</definedName>
    <definedName name="ddSeasons">OFFSET(Lookup!$H$1,1,0,COUNTA(Lookup!$H:$H)-1,1)</definedName>
    <definedName name="ddTemp">OFFSET(Lookup!$X$1,1,0,COUNTA(Lookup!$X:$X)-1,1)</definedName>
    <definedName name="ddUpgradeHeaters">Calculations!$B$39:$B$43</definedName>
    <definedName name="InverterFactor">Lookup!$B$2</definedName>
    <definedName name="Location">Sheet1!$B$8:$B$8</definedName>
    <definedName name="NoCoverFactor">Lookup!$A$2</definedName>
    <definedName name="_xlnm.Print_Area" localSheetId="0">'Heat Pump Calculator'!$A$1:$P$49</definedName>
    <definedName name="txtLocation">'Heat Pump Calculator'!$D$8</definedName>
    <definedName name="txtPoolCover">'Heat Pump Calculator'!$D$19</definedName>
    <definedName name="txtPoolTemp">'Heat Pump Calculator'!$D$17</definedName>
    <definedName name="txtPowerCost">'Heat Pump Calculator'!$D$23</definedName>
    <definedName name="txtSeason">'Heat Pump Calculator'!$D$21</definedName>
  </definedNames>
  <calcPr calcId="145621"/>
  <fileRecoveryPr autoRecover="0"/>
</workbook>
</file>

<file path=xl/calcChain.xml><?xml version="1.0" encoding="utf-8"?>
<calcChain xmlns="http://schemas.openxmlformats.org/spreadsheetml/2006/main">
  <c r="C8" i="6" l="1"/>
  <c r="C12" i="6" l="1"/>
  <c r="C11" i="6"/>
  <c r="C6" i="6" l="1"/>
  <c r="C4" i="6"/>
  <c r="D15" i="3" l="1"/>
  <c r="C5" i="6" s="1"/>
  <c r="C7" i="6" s="1"/>
  <c r="C9" i="6" s="1"/>
  <c r="Q2" i="2" l="1"/>
  <c r="R2" i="2" s="1"/>
  <c r="B32" i="6"/>
  <c r="C30" i="3" s="1"/>
  <c r="B33" i="6"/>
  <c r="C31" i="3" s="1"/>
  <c r="B34" i="6"/>
  <c r="C32" i="3" s="1"/>
  <c r="B31" i="6"/>
  <c r="C29" i="3" s="1"/>
  <c r="B35" i="6"/>
  <c r="C33" i="3" s="1"/>
  <c r="C10" i="6"/>
  <c r="B18" i="1"/>
  <c r="Q3" i="2" l="1"/>
  <c r="Q4" i="2" s="1"/>
  <c r="Q5" i="2" s="1"/>
  <c r="Q6" i="2" s="1"/>
  <c r="Q7" i="2" s="1"/>
  <c r="Q8" i="2" s="1"/>
  <c r="S2" i="2"/>
  <c r="F41" i="1"/>
  <c r="F40" i="1"/>
  <c r="F39" i="1"/>
  <c r="F38" i="1"/>
  <c r="F37" i="1"/>
  <c r="F36" i="1"/>
  <c r="E41" i="1"/>
  <c r="E40" i="1"/>
  <c r="E39" i="1"/>
  <c r="E38" i="1"/>
  <c r="E37" i="1"/>
  <c r="E36" i="1"/>
  <c r="R8" i="2" l="1"/>
  <c r="R6" i="2"/>
  <c r="R3" i="2"/>
  <c r="S3" i="2" s="1"/>
  <c r="R5" i="2"/>
  <c r="R4" i="2"/>
  <c r="R7" i="2"/>
  <c r="P27" i="1"/>
  <c r="P26" i="1"/>
  <c r="P19" i="1"/>
  <c r="K27" i="1"/>
  <c r="K26" i="1"/>
  <c r="K25" i="1"/>
  <c r="K21" i="1"/>
  <c r="K20" i="1"/>
  <c r="K19" i="1"/>
  <c r="F24" i="1"/>
  <c r="F23" i="1"/>
  <c r="F22" i="1"/>
  <c r="F27" i="1"/>
  <c r="F26" i="1"/>
  <c r="F25" i="1"/>
  <c r="F21" i="1"/>
  <c r="F20" i="1"/>
  <c r="F19" i="1"/>
  <c r="B42" i="6" l="1"/>
  <c r="B40" i="6"/>
  <c r="B43" i="6"/>
  <c r="B41" i="6"/>
  <c r="S4" i="2"/>
  <c r="P28" i="1"/>
  <c r="O28" i="1" s="1"/>
  <c r="O27" i="1"/>
  <c r="O26" i="1"/>
  <c r="P18" i="1"/>
  <c r="O18" i="1" s="1"/>
  <c r="P17" i="1"/>
  <c r="O17" i="1" s="1"/>
  <c r="K28" i="1"/>
  <c r="J28" i="1" s="1"/>
  <c r="J27" i="1"/>
  <c r="J26" i="1"/>
  <c r="J25" i="1"/>
  <c r="J21" i="1"/>
  <c r="J20" i="1"/>
  <c r="J19" i="1"/>
  <c r="K18" i="1"/>
  <c r="J18" i="1" s="1"/>
  <c r="K17" i="1"/>
  <c r="J17" i="1" s="1"/>
  <c r="F28" i="1"/>
  <c r="E28" i="1" s="1"/>
  <c r="E26" i="1"/>
  <c r="E25" i="1"/>
  <c r="E24" i="1"/>
  <c r="E23" i="1"/>
  <c r="E22" i="1"/>
  <c r="E21" i="1"/>
  <c r="E20" i="1"/>
  <c r="E19" i="1"/>
  <c r="F18" i="1"/>
  <c r="E18" i="1" s="1"/>
  <c r="F17" i="1"/>
  <c r="E17" i="1" s="1"/>
  <c r="O19" i="1"/>
  <c r="E27" i="1"/>
  <c r="S5" i="2" l="1"/>
  <c r="S6" i="2" s="1"/>
  <c r="S7" i="2" s="1"/>
  <c r="S8" i="2" s="1"/>
  <c r="P29" i="1"/>
  <c r="P30" i="1" s="1"/>
  <c r="O30" i="1" s="1"/>
  <c r="K29" i="1"/>
  <c r="K30" i="1" s="1"/>
  <c r="J30" i="1" s="1"/>
  <c r="J29" i="1"/>
  <c r="O29" i="1"/>
  <c r="F29" i="1"/>
  <c r="A35" i="1"/>
  <c r="C13" i="6" l="1"/>
  <c r="E29" i="1"/>
  <c r="F30" i="1"/>
  <c r="E30" i="1" s="1"/>
  <c r="C17" i="6" l="1"/>
  <c r="D17" i="6" s="1"/>
  <c r="K12" i="3" s="1"/>
  <c r="C28" i="6"/>
  <c r="D28" i="6" s="1"/>
  <c r="K23" i="3" s="1"/>
  <c r="C22" i="6"/>
  <c r="D22" i="6" s="1"/>
  <c r="K17" i="3" s="1"/>
  <c r="J17" i="3" s="1"/>
  <c r="C27" i="6"/>
  <c r="D27" i="6" s="1"/>
  <c r="K22" i="3" s="1"/>
  <c r="C20" i="6"/>
  <c r="D20" i="6" s="1"/>
  <c r="K15" i="3" s="1"/>
  <c r="C18" i="6"/>
  <c r="D18" i="6" s="1"/>
  <c r="K13" i="3" s="1"/>
  <c r="C25" i="6"/>
  <c r="D25" i="6" s="1"/>
  <c r="K20" i="3" s="1"/>
  <c r="C23" i="6"/>
  <c r="D23" i="6" s="1"/>
  <c r="K18" i="3" s="1"/>
  <c r="J18" i="3" s="1"/>
  <c r="C19" i="6"/>
  <c r="D19" i="6" s="1"/>
  <c r="K14" i="3" s="1"/>
  <c r="C26" i="6"/>
  <c r="D26" i="6" s="1"/>
  <c r="K21" i="3" s="1"/>
  <c r="C21" i="6"/>
  <c r="D21" i="6" s="1"/>
  <c r="K16" i="3" s="1"/>
  <c r="C24" i="6"/>
  <c r="D24" i="6" s="1"/>
  <c r="K19" i="3" s="1"/>
  <c r="J19" i="3" s="1"/>
  <c r="O22" i="3" l="1"/>
  <c r="M22" i="3"/>
  <c r="J22" i="3"/>
  <c r="M16" i="3"/>
  <c r="J16" i="3"/>
  <c r="L16" i="3" s="1"/>
  <c r="J20" i="3"/>
  <c r="L20" i="3" s="1"/>
  <c r="M20" i="3"/>
  <c r="J21" i="3"/>
  <c r="O21" i="3"/>
  <c r="M21" i="3"/>
  <c r="M13" i="3"/>
  <c r="J13" i="3"/>
  <c r="O13" i="3"/>
  <c r="O23" i="3"/>
  <c r="M23" i="3"/>
  <c r="J23" i="3"/>
  <c r="J14" i="3"/>
  <c r="O14" i="3"/>
  <c r="M14" i="3"/>
  <c r="M15" i="3"/>
  <c r="J15" i="3"/>
  <c r="L15" i="3" s="1"/>
  <c r="M12" i="3"/>
  <c r="O12" i="3"/>
  <c r="J12" i="3"/>
  <c r="K26" i="3"/>
  <c r="K27" i="3" s="1"/>
  <c r="O26" i="3" l="1"/>
  <c r="N23" i="3"/>
  <c r="L23" i="3"/>
  <c r="L13" i="3"/>
  <c r="N13" i="3"/>
  <c r="N21" i="3"/>
  <c r="L21" i="3"/>
  <c r="L22" i="3"/>
  <c r="N22" i="3"/>
  <c r="M26" i="3"/>
  <c r="M27" i="3" s="1"/>
  <c r="N12" i="3"/>
  <c r="L12" i="3"/>
  <c r="J26" i="3"/>
  <c r="J27" i="3" s="1"/>
  <c r="N14" i="3"/>
  <c r="L14" i="3"/>
  <c r="O27" i="3" l="1"/>
  <c r="D42" i="3"/>
  <c r="D41" i="3" s="1"/>
  <c r="L26" i="3"/>
  <c r="L27" i="3" s="1"/>
  <c r="N26" i="3"/>
  <c r="N27" i="3" s="1"/>
</calcChain>
</file>

<file path=xl/sharedStrings.xml><?xml version="1.0" encoding="utf-8"?>
<sst xmlns="http://schemas.openxmlformats.org/spreadsheetml/2006/main" count="267" uniqueCount="140">
  <si>
    <t>Pool Dimensions</t>
  </si>
  <si>
    <t>Litres</t>
  </si>
  <si>
    <t>Desired Pool Temperature</t>
  </si>
  <si>
    <t>Select Heating Type Required</t>
  </si>
  <si>
    <t>Power Cost (cents per KW Hour)</t>
  </si>
  <si>
    <t>Perth</t>
  </si>
  <si>
    <t>Sydney</t>
  </si>
  <si>
    <t>Melbourne</t>
  </si>
  <si>
    <t>Brisbane</t>
  </si>
  <si>
    <t>Hobart</t>
  </si>
  <si>
    <t>Summer/Autumn/Spring (9 Months)</t>
  </si>
  <si>
    <t>All Year Round (12 Months)</t>
  </si>
  <si>
    <t>Average Length (m)</t>
  </si>
  <si>
    <t>Average Width (m)</t>
  </si>
  <si>
    <t>Average Depth (m)</t>
  </si>
  <si>
    <t>Pool Location</t>
  </si>
  <si>
    <t>No Cover</t>
  </si>
  <si>
    <t>With Cover</t>
  </si>
  <si>
    <t>Month</t>
  </si>
  <si>
    <t>Jan</t>
  </si>
  <si>
    <t>Feb</t>
  </si>
  <si>
    <t>March</t>
  </si>
  <si>
    <t>April</t>
  </si>
  <si>
    <t>May</t>
  </si>
  <si>
    <t>June</t>
  </si>
  <si>
    <t>July</t>
  </si>
  <si>
    <t>Aug</t>
  </si>
  <si>
    <t>Sept</t>
  </si>
  <si>
    <t>Oct</t>
  </si>
  <si>
    <t>Nov</t>
  </si>
  <si>
    <t>Dec</t>
  </si>
  <si>
    <t>Total Cost</t>
  </si>
  <si>
    <t>WINTER</t>
  </si>
  <si>
    <t>SUMMER</t>
  </si>
  <si>
    <t>AUTUMN</t>
  </si>
  <si>
    <t>SPRING</t>
  </si>
  <si>
    <t>Season</t>
  </si>
  <si>
    <t>FULL YEAR ROUND HEATING</t>
  </si>
  <si>
    <t>EXTENDED SWIMMING SEASON HEATING (9 MONTHS)</t>
  </si>
  <si>
    <t>Model Chosen - KW Power Draw</t>
  </si>
  <si>
    <t>Inverter Model</t>
  </si>
  <si>
    <t>SOLAR EQUIVALENT (6 MONTHS)</t>
  </si>
  <si>
    <t>Solar Equivalent (6 Months)</t>
  </si>
  <si>
    <t>Model size 9kw</t>
  </si>
  <si>
    <t>Model Size 16kw</t>
  </si>
  <si>
    <t>Heat Pump Size recommend</t>
  </si>
  <si>
    <t>Full Year Heating</t>
  </si>
  <si>
    <t xml:space="preserve">Extended Season </t>
  </si>
  <si>
    <t>Solar Equivalent</t>
  </si>
  <si>
    <t>Model sixe 12kw</t>
  </si>
  <si>
    <t>Model Size 14w</t>
  </si>
  <si>
    <t>Model Size 23kw</t>
  </si>
  <si>
    <t>Model size 30kw</t>
  </si>
  <si>
    <t>.</t>
  </si>
  <si>
    <t>Your Pool Capacity (Litres) is:</t>
  </si>
  <si>
    <t>Location</t>
  </si>
  <si>
    <t>Desired Heating Season</t>
  </si>
  <si>
    <t>Power Cost</t>
  </si>
  <si>
    <t>Average Length</t>
  </si>
  <si>
    <t>Average Width</t>
  </si>
  <si>
    <t>Average Depth</t>
  </si>
  <si>
    <t>(Metres)</t>
  </si>
  <si>
    <t>(Litres)</t>
  </si>
  <si>
    <t>(Cents per KW Hour - from your latest power bill)</t>
  </si>
  <si>
    <t>Your Location</t>
  </si>
  <si>
    <t>Heating Requirements</t>
  </si>
  <si>
    <t>Pool Temperature</t>
  </si>
  <si>
    <t>Calculations</t>
  </si>
  <si>
    <t>Cost Results</t>
  </si>
  <si>
    <t>Estimated Annual Cost</t>
  </si>
  <si>
    <t>With Inverter</t>
  </si>
  <si>
    <t>Without Inverter</t>
  </si>
  <si>
    <t>(Per Annum)</t>
  </si>
  <si>
    <t>Your Pool Capacity Is</t>
  </si>
  <si>
    <t>Pool Cover</t>
  </si>
  <si>
    <t>Yes</t>
  </si>
  <si>
    <t>Solar Equivalent ( 6 Mths)</t>
  </si>
  <si>
    <t>Extended Season (9 Mths)</t>
  </si>
  <si>
    <t>Full Year Heating (12 Mths)</t>
  </si>
  <si>
    <t>© 2017 Aquatight</t>
  </si>
  <si>
    <t>Developed by SolVu Consulting</t>
  </si>
  <si>
    <t>9kw Model</t>
  </si>
  <si>
    <t>12kw Model</t>
  </si>
  <si>
    <t>16kw Model</t>
  </si>
  <si>
    <t>23kw Model</t>
  </si>
  <si>
    <t>30kw Model</t>
  </si>
  <si>
    <t>Heater Models</t>
  </si>
  <si>
    <t>Kw PH Draw</t>
  </si>
  <si>
    <t>Litres Capacity Factor</t>
  </si>
  <si>
    <t>Hours Per Day Factor</t>
  </si>
  <si>
    <t>Recommended Heading Unit</t>
  </si>
  <si>
    <t>Pool Capacity Equivalent</t>
  </si>
  <si>
    <t>14kw Model</t>
  </si>
  <si>
    <t>Full Year</t>
  </si>
  <si>
    <t>Extended</t>
  </si>
  <si>
    <t>Solar</t>
  </si>
  <si>
    <t>Selected Season</t>
  </si>
  <si>
    <t>Draw Per Hour</t>
  </si>
  <si>
    <t>KW per Hour</t>
  </si>
  <si>
    <t>Heating Period</t>
  </si>
  <si>
    <t>Hours Per Day</t>
  </si>
  <si>
    <t>Pool Temp Factor</t>
  </si>
  <si>
    <t>Mar</t>
  </si>
  <si>
    <t>Apr</t>
  </si>
  <si>
    <t>Jun</t>
  </si>
  <si>
    <t>Jul</t>
  </si>
  <si>
    <t>Sep</t>
  </si>
  <si>
    <t>Months</t>
  </si>
  <si>
    <t>Hours Per Day Required</t>
  </si>
  <si>
    <t>Location Hours Factor</t>
  </si>
  <si>
    <t>Cost Per Hour</t>
  </si>
  <si>
    <t>Hours Per Month</t>
  </si>
  <si>
    <t>No Cover Factor</t>
  </si>
  <si>
    <t>Inverter Factor</t>
  </si>
  <si>
    <t>Standard Model</t>
  </si>
  <si>
    <t>Total Estimated Annual Running Cost</t>
  </si>
  <si>
    <t>Heating Factor</t>
  </si>
  <si>
    <t>Recommended or Greater</t>
  </si>
  <si>
    <t>Ranked</t>
  </si>
  <si>
    <t>Heating Hours Factor</t>
  </si>
  <si>
    <t>Heater Rating</t>
  </si>
  <si>
    <t>Model List</t>
  </si>
  <si>
    <t>Aquatight Saturn Inverter Model iX09</t>
  </si>
  <si>
    <t>Heater Capacity</t>
  </si>
  <si>
    <t>Recommended Heater</t>
  </si>
  <si>
    <t>Upgrade Heater To</t>
  </si>
  <si>
    <t>Selected Heater</t>
  </si>
  <si>
    <t>Upgraded Heaters</t>
  </si>
  <si>
    <t>None</t>
  </si>
  <si>
    <t>Upgrade Heater Factor</t>
  </si>
  <si>
    <t>Aquatight Saturn Inverter Model iX12</t>
  </si>
  <si>
    <t>Aquatight Saturn Inverter Model iX16</t>
  </si>
  <si>
    <t>Adelaide Hills</t>
  </si>
  <si>
    <t>Adelaide Metro</t>
  </si>
  <si>
    <t>Aquatight InverterMAX Silent 13</t>
  </si>
  <si>
    <t>Aquatight InverterMAX Silet 15</t>
  </si>
  <si>
    <t>Aquatight InverterMAX Silent 21</t>
  </si>
  <si>
    <t>Aquatight InverterMAX Silent 28</t>
  </si>
  <si>
    <t>36kw Model</t>
  </si>
  <si>
    <t>Aquatight InverterMAX Silent 36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</si>
</sst>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43" formatCode="_-* #,##0.00_-;\-* #,##0.00_-;_-* &quot;-&quot;??_-;_-@_-"/>
    <numFmt numFmtId="164" formatCode="0.0"/>
    <numFmt numFmtId="165" formatCode="_-* #,##0_-;\-* #,##0_-;_-* &quot;-&quot;??_-;_-@_-"/>
    <numFmt numFmtId="166" formatCode="&quot;$&quot;#,##0.00"/>
    <numFmt numFmtId="167" formatCode="_-&quot;$&quot;* #,##0_-;\-&quot;$&quot;* #,##0_-;_-&quot;$&quot;* &quot;-&quot;??_-;_-@_-"/>
  </numFmts>
  <fonts count="24" x14ac:knownFonts="1">
    <font>
      <sz val="11"/>
      <color theme="1"/>
      <name val="Calibri"/>
      <family val="2"/>
      <scheme val="minor"/>
    </font>
    <font>
      <sz val="11"/>
      <color theme="1"/>
      <name val="Calibri"/>
      <family val="2"/>
      <scheme val="minor"/>
    </font>
    <font>
      <b/>
      <u/>
      <sz val="12"/>
      <color theme="1"/>
      <name val="Calibri"/>
      <family val="2"/>
      <scheme val="minor"/>
    </font>
    <font>
      <b/>
      <u/>
      <sz val="14"/>
      <color theme="1"/>
      <name val="Calibri"/>
      <family val="2"/>
      <scheme val="minor"/>
    </font>
    <font>
      <b/>
      <sz val="12"/>
      <color theme="1"/>
      <name val="Calibri"/>
      <family val="2"/>
      <scheme val="minor"/>
    </font>
    <font>
      <sz val="16"/>
      <color theme="1"/>
      <name val="Calibri"/>
      <family val="2"/>
      <scheme val="minor"/>
    </font>
    <font>
      <b/>
      <sz val="11"/>
      <color theme="1"/>
      <name val="Calibri"/>
      <family val="2"/>
      <scheme val="minor"/>
    </font>
    <font>
      <sz val="11"/>
      <color rgb="FF002060"/>
      <name val="Calibri"/>
      <family val="2"/>
      <scheme val="minor"/>
    </font>
    <font>
      <sz val="11"/>
      <color rgb="FF0070C0"/>
      <name val="Calibri"/>
      <family val="2"/>
      <scheme val="minor"/>
    </font>
    <font>
      <b/>
      <sz val="11"/>
      <color rgb="FF0070C0"/>
      <name val="Calibri"/>
      <family val="2"/>
      <scheme val="minor"/>
    </font>
    <font>
      <b/>
      <sz val="12"/>
      <color rgb="FF0070C0"/>
      <name val="Calibri"/>
      <family val="2"/>
      <scheme val="minor"/>
    </font>
    <font>
      <b/>
      <sz val="14"/>
      <color rgb="FF0070C0"/>
      <name val="Calibri"/>
      <family val="2"/>
      <scheme val="minor"/>
    </font>
    <font>
      <i/>
      <sz val="9"/>
      <color rgb="FF0070C0"/>
      <name val="Calibri"/>
      <family val="2"/>
      <scheme val="minor"/>
    </font>
    <font>
      <b/>
      <sz val="16"/>
      <color theme="7" tint="-0.499984740745262"/>
      <name val="Calibri"/>
      <family val="2"/>
      <scheme val="minor"/>
    </font>
    <font>
      <b/>
      <sz val="12"/>
      <color theme="7" tint="-0.499984740745262"/>
      <name val="Calibri"/>
      <family val="2"/>
      <scheme val="minor"/>
    </font>
    <font>
      <b/>
      <sz val="14"/>
      <color theme="7" tint="-0.499984740745262"/>
      <name val="Calibri"/>
      <family val="2"/>
      <scheme val="minor"/>
    </font>
    <font>
      <b/>
      <sz val="12"/>
      <color theme="0"/>
      <name val="Calibri"/>
      <family val="2"/>
      <scheme val="minor"/>
    </font>
    <font>
      <b/>
      <sz val="11"/>
      <color theme="0"/>
      <name val="Calibri"/>
      <family val="2"/>
      <scheme val="minor"/>
    </font>
    <font>
      <sz val="11"/>
      <color theme="0"/>
      <name val="Calibri"/>
      <family val="2"/>
      <scheme val="minor"/>
    </font>
    <font>
      <b/>
      <sz val="11"/>
      <color rgb="FF002060"/>
      <name val="Calibri"/>
      <family val="2"/>
      <scheme val="minor"/>
    </font>
    <font>
      <b/>
      <sz val="14"/>
      <color rgb="FF002060"/>
      <name val="Calibri"/>
      <family val="2"/>
      <scheme val="minor"/>
    </font>
    <font>
      <b/>
      <u/>
      <sz val="11"/>
      <color rgb="FF0070C0"/>
      <name val="Calibri"/>
      <family val="2"/>
      <scheme val="minor"/>
    </font>
    <font>
      <sz val="11"/>
      <color rgb="FF1F497D"/>
      <name val="Calibri"/>
      <family val="2"/>
      <scheme val="minor"/>
    </font>
    <font>
      <sz val="11"/>
      <color theme="3" tint="0.79998168889431442"/>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rgb="FFFFC000"/>
        <bgColor indexed="64"/>
      </patternFill>
    </fill>
    <fill>
      <patternFill patternType="solid">
        <fgColor theme="3" tint="0.79998168889431442"/>
        <bgColor indexed="64"/>
      </patternFill>
    </fill>
    <fill>
      <patternFill patternType="solid">
        <fgColor theme="4"/>
        <bgColor indexed="64"/>
      </patternFill>
    </fill>
    <fill>
      <patternFill patternType="solid">
        <fgColor rgb="FF0070C0"/>
        <bgColor indexed="64"/>
      </patternFill>
    </fill>
    <fill>
      <patternFill patternType="solid">
        <fgColor theme="7" tint="0.59999389629810485"/>
        <bgColor indexed="64"/>
      </patternFill>
    </fill>
  </fills>
  <borders count="37">
    <border>
      <left/>
      <right/>
      <top/>
      <bottom/>
      <diagonal/>
    </border>
    <border>
      <left style="thin">
        <color rgb="FF002060"/>
      </left>
      <right style="thin">
        <color rgb="FF002060"/>
      </right>
      <top style="thin">
        <color rgb="FF002060"/>
      </top>
      <bottom style="thin">
        <color rgb="FF002060"/>
      </bottom>
      <diagonal/>
    </border>
    <border>
      <left style="thin">
        <color rgb="FF002060"/>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medium">
        <color rgb="FF002060"/>
      </left>
      <right style="thin">
        <color rgb="FF002060"/>
      </right>
      <top style="thin">
        <color rgb="FF002060"/>
      </top>
      <bottom/>
      <diagonal/>
    </border>
    <border>
      <left style="thin">
        <color rgb="FF002060"/>
      </left>
      <right style="medium">
        <color rgb="FF002060"/>
      </right>
      <top style="thin">
        <color rgb="FF002060"/>
      </top>
      <bottom/>
      <diagonal/>
    </border>
    <border>
      <left style="medium">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diagonal/>
    </border>
    <border>
      <left style="thin">
        <color rgb="FF002060"/>
      </left>
      <right style="medium">
        <color rgb="FF002060"/>
      </right>
      <top/>
      <bottom/>
      <diagonal/>
    </border>
    <border>
      <left style="medium">
        <color rgb="FF002060"/>
      </left>
      <right style="thin">
        <color rgb="FF002060"/>
      </right>
      <top style="medium">
        <color rgb="FF002060"/>
      </top>
      <bottom style="thin">
        <color rgb="FF002060"/>
      </bottom>
      <diagonal/>
    </border>
    <border>
      <left style="thin">
        <color rgb="FF002060"/>
      </left>
      <right/>
      <top style="medium">
        <color rgb="FF002060"/>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right style="thin">
        <color rgb="FF002060"/>
      </right>
      <top/>
      <bottom style="medium">
        <color rgb="FF002060"/>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right style="thin">
        <color rgb="FF002060"/>
      </right>
      <top style="medium">
        <color rgb="FF002060"/>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right style="thin">
        <color rgb="FF002060"/>
      </right>
      <top style="medium">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style="thin">
        <color rgb="FF002060"/>
      </right>
      <top style="thin">
        <color rgb="FF002060"/>
      </top>
      <bottom style="medium">
        <color rgb="FF002060"/>
      </bottom>
      <diagonal/>
    </border>
    <border>
      <left/>
      <right/>
      <top style="medium">
        <color rgb="FF002060"/>
      </top>
      <bottom/>
      <diagonal/>
    </border>
    <border>
      <left/>
      <right/>
      <top/>
      <bottom style="medium">
        <color rgb="FF00206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19">
    <xf numFmtId="0" fontId="0" fillId="0" borderId="0" xfId="0"/>
    <xf numFmtId="0" fontId="0" fillId="3" borderId="0" xfId="0" applyFill="1"/>
    <xf numFmtId="0" fontId="0" fillId="3" borderId="0" xfId="0" applyFill="1" applyAlignment="1">
      <alignment horizontal="center"/>
    </xf>
    <xf numFmtId="0" fontId="0" fillId="0" borderId="0" xfId="0" applyAlignment="1">
      <alignment horizontal="center"/>
    </xf>
    <xf numFmtId="0" fontId="0" fillId="4" borderId="0" xfId="0" applyFill="1" applyAlignment="1">
      <alignment horizontal="center"/>
    </xf>
    <xf numFmtId="0" fontId="0" fillId="5" borderId="0" xfId="0" applyFill="1"/>
    <xf numFmtId="0" fontId="0" fillId="4" borderId="0" xfId="0" applyFill="1"/>
    <xf numFmtId="0" fontId="0" fillId="6" borderId="0" xfId="0" applyFill="1"/>
    <xf numFmtId="44" fontId="0" fillId="0" borderId="0" xfId="1" applyFont="1" applyAlignment="1">
      <alignment horizontal="center"/>
    </xf>
    <xf numFmtId="44" fontId="0" fillId="4" borderId="0" xfId="1" applyFont="1" applyFill="1" applyAlignment="1">
      <alignment horizontal="center"/>
    </xf>
    <xf numFmtId="44" fontId="0" fillId="6" borderId="0" xfId="1" applyFont="1" applyFill="1" applyAlignment="1">
      <alignment horizontal="center"/>
    </xf>
    <xf numFmtId="44" fontId="0" fillId="5" borderId="0" xfId="1" applyFont="1" applyFill="1" applyAlignment="1">
      <alignment horizontal="center"/>
    </xf>
    <xf numFmtId="0" fontId="2" fillId="0" borderId="0" xfId="0" applyFont="1"/>
    <xf numFmtId="0" fontId="3" fillId="0" borderId="0" xfId="0" applyFont="1"/>
    <xf numFmtId="0" fontId="4" fillId="0" borderId="0" xfId="0" applyFont="1"/>
    <xf numFmtId="44" fontId="4" fillId="0" borderId="0" xfId="1" applyNumberFormat="1" applyFont="1" applyAlignment="1">
      <alignment horizontal="center"/>
    </xf>
    <xf numFmtId="44" fontId="4" fillId="0" borderId="0" xfId="1" applyFont="1" applyAlignment="1">
      <alignment horizontal="center"/>
    </xf>
    <xf numFmtId="3" fontId="0" fillId="0" borderId="0" xfId="0" applyNumberFormat="1" applyAlignment="1">
      <alignment horizontal="center"/>
    </xf>
    <xf numFmtId="0" fontId="5" fillId="4" borderId="0" xfId="0" applyFont="1" applyFill="1" applyAlignment="1">
      <alignment horizontal="left"/>
    </xf>
    <xf numFmtId="0" fontId="0" fillId="2" borderId="0" xfId="0" applyFill="1" applyAlignment="1" applyProtection="1">
      <alignment horizontal="center"/>
      <protection locked="0"/>
    </xf>
    <xf numFmtId="0" fontId="8" fillId="7" borderId="0" xfId="0" applyFont="1" applyFill="1"/>
    <xf numFmtId="0" fontId="9" fillId="7" borderId="0" xfId="0" applyFont="1" applyFill="1"/>
    <xf numFmtId="0" fontId="10" fillId="7" borderId="0" xfId="0" applyFont="1" applyFill="1"/>
    <xf numFmtId="0" fontId="11" fillId="7" borderId="0" xfId="0" applyFont="1" applyFill="1"/>
    <xf numFmtId="0" fontId="7" fillId="0" borderId="0" xfId="0" applyFont="1"/>
    <xf numFmtId="0" fontId="8" fillId="7" borderId="0" xfId="0" applyFont="1" applyFill="1" applyAlignment="1">
      <alignment horizontal="left" indent="2"/>
    </xf>
    <xf numFmtId="0" fontId="12" fillId="7" borderId="0" xfId="0" applyFont="1" applyFill="1" applyAlignment="1">
      <alignment horizontal="left" indent="1"/>
    </xf>
    <xf numFmtId="0" fontId="9" fillId="7" borderId="0" xfId="0" applyFont="1" applyFill="1" applyAlignment="1">
      <alignment horizontal="left" indent="2"/>
    </xf>
    <xf numFmtId="0" fontId="8" fillId="7" borderId="0" xfId="0" applyFont="1" applyFill="1" applyBorder="1"/>
    <xf numFmtId="0" fontId="13" fillId="7" borderId="0" xfId="0" applyFont="1" applyFill="1"/>
    <xf numFmtId="0" fontId="8" fillId="7" borderId="0" xfId="0" applyFont="1" applyFill="1" applyAlignment="1">
      <alignment horizontal="left" indent="1"/>
    </xf>
    <xf numFmtId="0" fontId="9" fillId="7" borderId="0" xfId="0" applyFont="1" applyFill="1" applyAlignment="1">
      <alignment horizontal="left" indent="1"/>
    </xf>
    <xf numFmtId="0" fontId="8" fillId="7" borderId="0" xfId="0" applyFont="1" applyFill="1" applyAlignment="1">
      <alignment vertical="center"/>
    </xf>
    <xf numFmtId="0" fontId="16" fillId="9" borderId="17" xfId="0" applyFont="1" applyFill="1" applyBorder="1" applyAlignment="1">
      <alignment horizontal="left" vertical="center" indent="1"/>
    </xf>
    <xf numFmtId="0" fontId="9" fillId="7" borderId="11" xfId="0" applyFont="1" applyFill="1" applyBorder="1" applyAlignment="1">
      <alignment horizontal="left" vertical="center" indent="1"/>
    </xf>
    <xf numFmtId="0" fontId="9" fillId="7" borderId="13" xfId="0" applyFont="1" applyFill="1" applyBorder="1" applyAlignment="1">
      <alignment horizontal="left" vertical="center" indent="1"/>
    </xf>
    <xf numFmtId="0" fontId="9" fillId="7" borderId="15" xfId="0" applyFont="1" applyFill="1" applyBorder="1" applyAlignment="1">
      <alignment horizontal="left" vertical="center" indent="1"/>
    </xf>
    <xf numFmtId="0" fontId="16" fillId="9" borderId="18" xfId="0" applyFont="1" applyFill="1" applyBorder="1" applyAlignment="1">
      <alignment horizontal="center" vertical="center"/>
    </xf>
    <xf numFmtId="0" fontId="19" fillId="0" borderId="0" xfId="0" applyFont="1"/>
    <xf numFmtId="0" fontId="20" fillId="0" borderId="0" xfId="0" applyFont="1"/>
    <xf numFmtId="165" fontId="7" fillId="0" borderId="0" xfId="2" applyNumberFormat="1" applyFont="1"/>
    <xf numFmtId="0" fontId="18" fillId="8" borderId="0" xfId="0" applyFont="1" applyFill="1" applyAlignment="1">
      <alignment wrapText="1"/>
    </xf>
    <xf numFmtId="0" fontId="7" fillId="0" borderId="0" xfId="0" applyFont="1" applyAlignment="1">
      <alignment horizontal="right"/>
    </xf>
    <xf numFmtId="0" fontId="17" fillId="8" borderId="0" xfId="0" applyFont="1" applyFill="1"/>
    <xf numFmtId="0" fontId="17" fillId="8" borderId="0" xfId="0" applyFont="1" applyFill="1" applyAlignment="1">
      <alignment wrapText="1"/>
    </xf>
    <xf numFmtId="0" fontId="7" fillId="0" borderId="0" xfId="0" applyFont="1" applyAlignment="1">
      <alignment horizontal="right" wrapText="1"/>
    </xf>
    <xf numFmtId="167" fontId="8" fillId="7" borderId="12" xfId="1" applyNumberFormat="1" applyFont="1" applyFill="1" applyBorder="1" applyAlignment="1">
      <alignment horizontal="center"/>
    </xf>
    <xf numFmtId="167" fontId="8" fillId="7" borderId="14" xfId="1" applyNumberFormat="1" applyFont="1" applyFill="1" applyBorder="1" applyAlignment="1">
      <alignment horizontal="center"/>
    </xf>
    <xf numFmtId="167" fontId="8" fillId="7" borderId="16" xfId="1" applyNumberFormat="1" applyFont="1" applyFill="1" applyBorder="1" applyAlignment="1">
      <alignment horizontal="center"/>
    </xf>
    <xf numFmtId="167" fontId="8" fillId="7" borderId="0" xfId="0" applyNumberFormat="1" applyFont="1" applyFill="1"/>
    <xf numFmtId="164" fontId="8" fillId="0" borderId="1" xfId="2" applyNumberFormat="1" applyFont="1" applyFill="1" applyBorder="1" applyAlignment="1" applyProtection="1">
      <alignment horizontal="left" indent="2"/>
      <protection locked="0"/>
    </xf>
    <xf numFmtId="0" fontId="8" fillId="0" borderId="1" xfId="0" applyFont="1" applyFill="1" applyBorder="1" applyAlignment="1" applyProtection="1">
      <alignment horizontal="left" indent="2"/>
      <protection locked="0"/>
    </xf>
    <xf numFmtId="0" fontId="8" fillId="0" borderId="1" xfId="0" applyFont="1" applyFill="1" applyBorder="1" applyAlignment="1" applyProtection="1">
      <alignment horizontal="center"/>
      <protection locked="0"/>
    </xf>
    <xf numFmtId="0" fontId="15" fillId="7" borderId="0" xfId="0" applyFont="1" applyFill="1" applyAlignment="1">
      <alignment vertical="top"/>
    </xf>
    <xf numFmtId="0" fontId="21" fillId="7" borderId="0" xfId="0" applyFont="1" applyFill="1"/>
    <xf numFmtId="0" fontId="7" fillId="0" borderId="0" xfId="0" applyFont="1" applyAlignment="1"/>
    <xf numFmtId="43" fontId="7" fillId="0" borderId="0" xfId="2" applyNumberFormat="1" applyFont="1"/>
    <xf numFmtId="2" fontId="18" fillId="8" borderId="0" xfId="0" applyNumberFormat="1" applyFont="1" applyFill="1" applyAlignment="1">
      <alignment wrapText="1"/>
    </xf>
    <xf numFmtId="2" fontId="7" fillId="0" borderId="0" xfId="0" applyNumberFormat="1" applyFont="1"/>
    <xf numFmtId="0" fontId="22" fillId="0" borderId="0" xfId="0" applyFont="1" applyAlignment="1">
      <alignment vertical="center"/>
    </xf>
    <xf numFmtId="0" fontId="22" fillId="0" borderId="0" xfId="0" applyFont="1"/>
    <xf numFmtId="164" fontId="8" fillId="0" borderId="1" xfId="2" applyNumberFormat="1" applyFont="1" applyFill="1" applyBorder="1" applyAlignment="1" applyProtection="1">
      <alignment horizontal="center"/>
      <protection locked="0"/>
    </xf>
    <xf numFmtId="165" fontId="9" fillId="7" borderId="0" xfId="2" applyNumberFormat="1" applyFont="1" applyFill="1" applyAlignment="1" applyProtection="1">
      <alignment horizontal="left"/>
      <protection hidden="1"/>
    </xf>
    <xf numFmtId="0" fontId="8" fillId="7" borderId="0" xfId="0" applyFont="1" applyFill="1" applyAlignment="1" applyProtection="1">
      <alignment horizontal="left" indent="1"/>
      <protection hidden="1"/>
    </xf>
    <xf numFmtId="6" fontId="15" fillId="7" borderId="0" xfId="1" applyNumberFormat="1" applyFont="1" applyFill="1" applyAlignment="1" applyProtection="1">
      <protection hidden="1"/>
    </xf>
    <xf numFmtId="165" fontId="7" fillId="10" borderId="0" xfId="2" applyNumberFormat="1" applyFont="1" applyFill="1" applyProtection="1">
      <protection hidden="1"/>
    </xf>
    <xf numFmtId="2" fontId="7" fillId="10" borderId="0" xfId="2" applyNumberFormat="1" applyFont="1" applyFill="1" applyProtection="1">
      <protection hidden="1"/>
    </xf>
    <xf numFmtId="0" fontId="7" fillId="0" borderId="0" xfId="0" applyFont="1" applyAlignment="1" applyProtection="1">
      <alignment horizontal="right"/>
      <protection hidden="1"/>
    </xf>
    <xf numFmtId="165" fontId="7" fillId="0" borderId="0" xfId="2" applyNumberFormat="1" applyFont="1" applyAlignment="1" applyProtection="1">
      <alignment horizontal="right"/>
      <protection hidden="1"/>
    </xf>
    <xf numFmtId="166" fontId="7" fillId="0" borderId="0" xfId="1" applyNumberFormat="1" applyFont="1" applyAlignment="1" applyProtection="1">
      <alignment horizontal="right"/>
      <protection hidden="1"/>
    </xf>
    <xf numFmtId="0" fontId="7" fillId="0" borderId="0" xfId="0" applyFont="1" applyProtection="1">
      <protection hidden="1"/>
    </xf>
    <xf numFmtId="167" fontId="8" fillId="7" borderId="12" xfId="1" applyNumberFormat="1" applyFont="1" applyFill="1" applyBorder="1" applyAlignment="1" applyProtection="1">
      <alignment horizontal="center"/>
      <protection hidden="1"/>
    </xf>
    <xf numFmtId="167" fontId="8" fillId="7" borderId="14" xfId="1" applyNumberFormat="1" applyFont="1" applyFill="1" applyBorder="1" applyAlignment="1" applyProtection="1">
      <alignment horizontal="center"/>
      <protection hidden="1"/>
    </xf>
    <xf numFmtId="167" fontId="8" fillId="7" borderId="16" xfId="1" applyNumberFormat="1" applyFont="1" applyFill="1" applyBorder="1" applyAlignment="1" applyProtection="1">
      <alignment horizontal="center"/>
      <protection hidden="1"/>
    </xf>
    <xf numFmtId="167" fontId="14" fillId="3" borderId="22" xfId="1" applyNumberFormat="1" applyFont="1" applyFill="1" applyBorder="1" applyAlignment="1" applyProtection="1">
      <alignment horizontal="center"/>
      <protection hidden="1"/>
    </xf>
    <xf numFmtId="167" fontId="14" fillId="3" borderId="23" xfId="1" applyNumberFormat="1" applyFont="1" applyFill="1" applyBorder="1" applyAlignment="1" applyProtection="1">
      <alignment horizontal="center"/>
      <protection hidden="1"/>
    </xf>
    <xf numFmtId="167" fontId="14" fillId="3" borderId="24" xfId="1" applyNumberFormat="1" applyFont="1" applyFill="1" applyBorder="1" applyAlignment="1" applyProtection="1">
      <alignment horizontal="center"/>
      <protection hidden="1"/>
    </xf>
    <xf numFmtId="167" fontId="14" fillId="3" borderId="19" xfId="1" applyNumberFormat="1" applyFont="1" applyFill="1" applyBorder="1" applyAlignment="1" applyProtection="1">
      <alignment horizontal="center"/>
      <protection hidden="1"/>
    </xf>
    <xf numFmtId="167" fontId="14" fillId="3" borderId="20" xfId="1" applyNumberFormat="1" applyFont="1" applyFill="1" applyBorder="1" applyAlignment="1" applyProtection="1">
      <alignment horizontal="center"/>
      <protection hidden="1"/>
    </xf>
    <xf numFmtId="167" fontId="14" fillId="3" borderId="21" xfId="1" applyNumberFormat="1" applyFont="1" applyFill="1" applyBorder="1" applyAlignment="1" applyProtection="1">
      <alignment horizontal="center"/>
      <protection hidden="1"/>
    </xf>
    <xf numFmtId="0" fontId="23" fillId="7" borderId="0" xfId="0" applyFont="1" applyFill="1"/>
    <xf numFmtId="0" fontId="16" fillId="9" borderId="29" xfId="0" applyFont="1" applyFill="1" applyBorder="1" applyAlignment="1">
      <alignment horizontal="left" vertical="center" indent="1"/>
    </xf>
    <xf numFmtId="0" fontId="16" fillId="9" borderId="30" xfId="0" applyFont="1" applyFill="1" applyBorder="1" applyAlignment="1">
      <alignment horizontal="left" vertical="center" indent="1"/>
    </xf>
    <xf numFmtId="0" fontId="9" fillId="7" borderId="31" xfId="0" applyFont="1" applyFill="1" applyBorder="1" applyAlignment="1">
      <alignment horizontal="left" vertical="center" indent="1"/>
    </xf>
    <xf numFmtId="0" fontId="9" fillId="7" borderId="32" xfId="0" applyFont="1" applyFill="1" applyBorder="1" applyAlignment="1">
      <alignment horizontal="center" vertical="center"/>
    </xf>
    <xf numFmtId="44" fontId="8" fillId="7" borderId="31" xfId="1" applyNumberFormat="1" applyFont="1" applyFill="1" applyBorder="1" applyAlignment="1" applyProtection="1">
      <alignment horizontal="center"/>
      <protection hidden="1"/>
    </xf>
    <xf numFmtId="167" fontId="8" fillId="7" borderId="33" xfId="1" applyNumberFormat="1" applyFont="1" applyFill="1" applyBorder="1" applyAlignment="1" applyProtection="1">
      <alignment horizontal="center"/>
      <protection hidden="1"/>
    </xf>
    <xf numFmtId="44" fontId="8" fillId="7" borderId="34" xfId="1" applyNumberFormat="1" applyFont="1" applyFill="1" applyBorder="1" applyAlignment="1" applyProtection="1">
      <alignment horizontal="center"/>
      <protection hidden="1"/>
    </xf>
    <xf numFmtId="167" fontId="8" fillId="7" borderId="11" xfId="1" applyNumberFormat="1" applyFont="1" applyFill="1" applyBorder="1" applyAlignment="1" applyProtection="1">
      <alignment horizontal="center"/>
      <protection hidden="1"/>
    </xf>
    <xf numFmtId="167" fontId="8" fillId="7" borderId="13" xfId="1" applyNumberFormat="1" applyFont="1" applyFill="1" applyBorder="1" applyAlignment="1" applyProtection="1">
      <alignment horizontal="center"/>
      <protection hidden="1"/>
    </xf>
    <xf numFmtId="167" fontId="8" fillId="7" borderId="15" xfId="1" applyNumberFormat="1" applyFont="1" applyFill="1" applyBorder="1" applyAlignment="1" applyProtection="1">
      <alignment horizontal="center"/>
      <protection hidden="1"/>
    </xf>
    <xf numFmtId="167" fontId="8" fillId="7" borderId="15" xfId="1" applyNumberFormat="1" applyFont="1" applyFill="1" applyBorder="1" applyAlignment="1">
      <alignment horizontal="center"/>
    </xf>
    <xf numFmtId="167" fontId="8" fillId="7" borderId="13" xfId="1" applyNumberFormat="1" applyFont="1" applyFill="1" applyBorder="1" applyAlignment="1">
      <alignment horizontal="center"/>
    </xf>
    <xf numFmtId="167" fontId="8" fillId="7" borderId="7" xfId="1" applyNumberFormat="1" applyFont="1" applyFill="1" applyBorder="1" applyAlignment="1" applyProtection="1">
      <alignment horizontal="center"/>
      <protection hidden="1"/>
    </xf>
    <xf numFmtId="167" fontId="8" fillId="7" borderId="10" xfId="1" applyNumberFormat="1" applyFont="1" applyFill="1" applyBorder="1" applyAlignment="1" applyProtection="1">
      <alignment horizontal="center"/>
      <protection hidden="1"/>
    </xf>
    <xf numFmtId="167" fontId="8" fillId="7" borderId="8" xfId="1" applyNumberFormat="1" applyFont="1" applyFill="1" applyBorder="1" applyAlignment="1">
      <alignment horizontal="center"/>
    </xf>
    <xf numFmtId="167" fontId="8" fillId="7" borderId="7" xfId="1" applyNumberFormat="1" applyFont="1" applyFill="1" applyBorder="1" applyAlignment="1">
      <alignment horizontal="center"/>
    </xf>
    <xf numFmtId="167" fontId="8" fillId="7" borderId="10" xfId="1" applyNumberFormat="1" applyFont="1" applyFill="1" applyBorder="1" applyAlignment="1">
      <alignment horizontal="center"/>
    </xf>
    <xf numFmtId="167" fontId="8" fillId="7" borderId="8" xfId="1" applyNumberFormat="1" applyFont="1" applyFill="1" applyBorder="1" applyAlignment="1" applyProtection="1">
      <alignment horizontal="center"/>
      <protection hidden="1"/>
    </xf>
    <xf numFmtId="0" fontId="8" fillId="0" borderId="3"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16" xfId="0" applyFont="1" applyFill="1" applyBorder="1" applyAlignment="1">
      <alignment horizontal="center" vertical="center"/>
    </xf>
    <xf numFmtId="0" fontId="9" fillId="7" borderId="14" xfId="0" applyFont="1" applyFill="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14" fillId="3" borderId="25" xfId="0" applyFont="1" applyFill="1" applyBorder="1" applyAlignment="1">
      <alignment horizontal="left" vertical="center" indent="1"/>
    </xf>
    <xf numFmtId="0" fontId="14" fillId="3" borderId="26" xfId="0" applyFont="1" applyFill="1" applyBorder="1" applyAlignment="1">
      <alignment horizontal="left" vertical="center" indent="1"/>
    </xf>
    <xf numFmtId="0" fontId="14" fillId="3" borderId="27" xfId="0" applyFont="1" applyFill="1" applyBorder="1" applyAlignment="1">
      <alignment horizontal="left" vertical="center" indent="1"/>
    </xf>
    <xf numFmtId="0" fontId="0" fillId="3" borderId="28" xfId="0" applyFill="1" applyBorder="1" applyAlignment="1">
      <alignment horizontal="left" vertical="center" indent="1"/>
    </xf>
    <xf numFmtId="0" fontId="16" fillId="9" borderId="25" xfId="0" applyFont="1" applyFill="1" applyBorder="1" applyAlignment="1">
      <alignment horizontal="center" vertical="center"/>
    </xf>
    <xf numFmtId="0" fontId="16" fillId="9" borderId="35" xfId="0" applyFont="1" applyFill="1" applyBorder="1" applyAlignment="1">
      <alignment horizontal="center" vertical="center"/>
    </xf>
    <xf numFmtId="0" fontId="16" fillId="9" borderId="27" xfId="0" applyFont="1" applyFill="1" applyBorder="1" applyAlignment="1">
      <alignment horizontal="center" vertical="center"/>
    </xf>
    <xf numFmtId="0" fontId="16" fillId="9" borderId="36" xfId="0" applyFont="1" applyFill="1" applyBorder="1" applyAlignment="1">
      <alignment horizontal="center" vertical="center"/>
    </xf>
    <xf numFmtId="0" fontId="16" fillId="9" borderId="26" xfId="0" applyFont="1" applyFill="1" applyBorder="1" applyAlignment="1">
      <alignment horizontal="center" vertical="center"/>
    </xf>
    <xf numFmtId="0" fontId="16" fillId="9" borderId="28" xfId="0" applyFont="1" applyFill="1" applyBorder="1" applyAlignment="1">
      <alignment horizontal="center" vertical="center"/>
    </xf>
  </cellXfs>
  <cellStyles count="3">
    <cellStyle name="Comma" xfId="2" builtinId="3"/>
    <cellStyle name="Currency" xfId="1" builtinId="4"/>
    <cellStyle name="Normal" xfId="0" builtinId="0"/>
  </cellStyles>
  <dxfs count="26">
    <dxf>
      <font>
        <b val="0"/>
        <i val="0"/>
        <strike val="0"/>
        <condense val="0"/>
        <extend val="0"/>
        <outline val="0"/>
        <shadow val="0"/>
        <u val="none"/>
        <vertAlign val="baseline"/>
        <sz val="11"/>
        <color rgb="FF002060"/>
        <name val="Calibri"/>
        <scheme val="minor"/>
      </font>
      <numFmt numFmtId="2" formatCode="0.00"/>
      <fill>
        <patternFill patternType="solid">
          <fgColor indexed="64"/>
          <bgColor theme="7" tint="0.59999389629810485"/>
        </patternFill>
      </fill>
      <protection locked="1" hidden="1"/>
    </dxf>
    <dxf>
      <font>
        <b val="0"/>
        <i val="0"/>
        <strike val="0"/>
        <condense val="0"/>
        <extend val="0"/>
        <outline val="0"/>
        <shadow val="0"/>
        <u val="none"/>
        <vertAlign val="baseline"/>
        <sz val="11"/>
        <color rgb="FF002060"/>
        <name val="Calibri"/>
        <scheme val="minor"/>
      </font>
      <numFmt numFmtId="165" formatCode="_-* #,##0_-;\-* #,##0_-;_-* &quot;-&quot;??_-;_-@_-"/>
      <fill>
        <patternFill patternType="solid">
          <fgColor indexed="64"/>
          <bgColor theme="7" tint="0.59999389629810485"/>
        </patternFill>
      </fill>
      <protection locked="1" hidden="1"/>
    </dxf>
    <dxf>
      <font>
        <b val="0"/>
        <i val="0"/>
        <strike val="0"/>
        <condense val="0"/>
        <extend val="0"/>
        <outline val="0"/>
        <shadow val="0"/>
        <u val="none"/>
        <vertAlign val="baseline"/>
        <sz val="11"/>
        <color rgb="FF002060"/>
        <name val="Calibri"/>
        <scheme val="minor"/>
      </font>
      <numFmt numFmtId="165" formatCode="_-* #,##0_-;\-* #,##0_-;_-* &quot;-&quot;??_-;_-@_-"/>
      <fill>
        <patternFill patternType="solid">
          <fgColor indexed="64"/>
          <bgColor theme="7" tint="0.59999389629810485"/>
        </patternFill>
      </fill>
      <protection locked="1" hidden="1"/>
    </dxf>
    <dxf>
      <font>
        <b val="0"/>
        <i val="0"/>
        <strike val="0"/>
        <condense val="0"/>
        <extend val="0"/>
        <outline val="0"/>
        <shadow val="0"/>
        <u val="none"/>
        <vertAlign val="baseline"/>
        <sz val="11"/>
        <color rgb="FF002060"/>
        <name val="Calibri"/>
        <scheme val="minor"/>
      </font>
      <numFmt numFmtId="35" formatCode="_-* #,##0.00_-;\-* #,##0.00_-;_-* &quot;-&quot;??_-;_-@_-"/>
    </dxf>
    <dxf>
      <font>
        <b val="0"/>
        <i val="0"/>
        <strike val="0"/>
        <condense val="0"/>
        <extend val="0"/>
        <outline val="0"/>
        <shadow val="0"/>
        <u val="none"/>
        <vertAlign val="baseline"/>
        <sz val="11"/>
        <color rgb="FF002060"/>
        <name val="Calibri"/>
        <scheme val="minor"/>
      </font>
      <numFmt numFmtId="165" formatCode="_-* #,##0_-;\-* #,##0_-;_-* &quot;-&quot;??_-;_-@_-"/>
    </dxf>
    <dxf>
      <font>
        <b val="0"/>
        <i val="0"/>
        <strike val="0"/>
        <condense val="0"/>
        <extend val="0"/>
        <outline val="0"/>
        <shadow val="0"/>
        <u val="none"/>
        <vertAlign val="baseline"/>
        <sz val="11"/>
        <color rgb="FF002060"/>
        <name val="Calibri"/>
        <scheme val="minor"/>
      </font>
      <numFmt numFmtId="165" formatCode="_-* #,##0_-;\-* #,##0_-;_-* &quot;-&quot;??_-;_-@_-"/>
    </dxf>
    <dxf>
      <font>
        <b val="0"/>
        <i val="0"/>
        <strike val="0"/>
        <condense val="0"/>
        <extend val="0"/>
        <outline val="0"/>
        <shadow val="0"/>
        <u val="none"/>
        <vertAlign val="baseline"/>
        <sz val="11"/>
        <color rgb="FF002060"/>
        <name val="Calibri"/>
        <scheme val="minor"/>
      </font>
      <numFmt numFmtId="165" formatCode="_-* #,##0_-;\-* #,##0_-;_-* &quot;-&quot;??_-;_-@_-"/>
    </dxf>
    <dxf>
      <font>
        <b val="0"/>
        <i val="0"/>
        <strike val="0"/>
        <condense val="0"/>
        <extend val="0"/>
        <outline val="0"/>
        <shadow val="0"/>
        <u val="none"/>
        <vertAlign val="baseline"/>
        <sz val="11"/>
        <color rgb="FF002060"/>
        <name val="Calibri"/>
        <scheme val="minor"/>
      </font>
    </dxf>
    <dxf>
      <font>
        <b val="0"/>
        <i val="0"/>
        <strike val="0"/>
        <condense val="0"/>
        <extend val="0"/>
        <outline val="0"/>
        <shadow val="0"/>
        <u val="none"/>
        <vertAlign val="baseline"/>
        <sz val="11"/>
        <color rgb="FF002060"/>
        <name val="Calibri"/>
        <scheme val="minor"/>
      </font>
    </dxf>
    <dxf>
      <font>
        <b val="0"/>
        <i val="0"/>
        <strike val="0"/>
        <condense val="0"/>
        <extend val="0"/>
        <outline val="0"/>
        <shadow val="0"/>
        <u val="none"/>
        <vertAlign val="baseline"/>
        <sz val="11"/>
        <color rgb="FF002060"/>
        <name val="Calibri"/>
        <scheme val="minor"/>
      </font>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ill>
        <patternFill patternType="solid">
          <fgColor indexed="64"/>
          <bgColor rgb="FF00B0F0"/>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34" formatCode="_-&quot;$&quot;* #,##0.00_-;\-&quot;$&quot;* #,##0.00_-;_-&quot;$&quot;* &quot;-&quot;??_-;_-@_-"/>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34" formatCode="_-&quot;$&quot;* #,##0.00_-;\-&quot;$&quot;* #,##0.00_-;_-&quot;$&quot;*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34" formatCode="_-&quot;$&quot;* #,##0.00_-;\-&quot;$&quot;* #,##0.00_-;_-&quot;$&quot;* &quot;-&quot;??_-;_-@_-"/>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606798</xdr:colOff>
      <xdr:row>0</xdr:row>
      <xdr:rowOff>104775</xdr:rowOff>
    </xdr:from>
    <xdr:to>
      <xdr:col>15</xdr:col>
      <xdr:colOff>0</xdr:colOff>
      <xdr:row>6</xdr:row>
      <xdr:rowOff>0</xdr:rowOff>
    </xdr:to>
    <xdr:pic>
      <xdr:nvPicPr>
        <xdr:cNvPr id="2" name="Picture 1">
          <a:extLst>
            <a:ext uri="{FF2B5EF4-FFF2-40B4-BE49-F238E27FC236}">
              <a16:creationId xmlns:a16="http://schemas.microsoft.com/office/drawing/2014/main" xmlns="" id="{B2FEE33A-FC60-4DC2-8B76-49EB6B3A28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72818" y="104775"/>
          <a:ext cx="2547882" cy="1076325"/>
        </a:xfrm>
        <a:prstGeom prst="rect">
          <a:avLst/>
        </a:prstGeom>
        <a:ln>
          <a:solidFill>
            <a:srgbClr val="002060"/>
          </a:solidFill>
        </a:ln>
      </xdr:spPr>
    </xdr:pic>
    <xdr:clientData/>
  </xdr:twoCellAnchor>
  <xdr:twoCellAnchor>
    <xdr:from>
      <xdr:col>1</xdr:col>
      <xdr:colOff>22860</xdr:colOff>
      <xdr:row>0</xdr:row>
      <xdr:rowOff>91440</xdr:rowOff>
    </xdr:from>
    <xdr:to>
      <xdr:col>5</xdr:col>
      <xdr:colOff>944880</xdr:colOff>
      <xdr:row>3</xdr:row>
      <xdr:rowOff>0</xdr:rowOff>
    </xdr:to>
    <xdr:sp macro="" textlink="">
      <xdr:nvSpPr>
        <xdr:cNvPr id="3" name="TextBox 2">
          <a:extLst>
            <a:ext uri="{FF2B5EF4-FFF2-40B4-BE49-F238E27FC236}">
              <a16:creationId xmlns:a16="http://schemas.microsoft.com/office/drawing/2014/main" xmlns="" id="{36840B3C-D836-4A26-BBD5-A25E9E17028B}"/>
            </a:ext>
          </a:extLst>
        </xdr:cNvPr>
        <xdr:cNvSpPr txBox="1"/>
      </xdr:nvSpPr>
      <xdr:spPr>
        <a:xfrm>
          <a:off x="190500" y="91440"/>
          <a:ext cx="381762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rgbClr val="0070C0"/>
              </a:solidFill>
              <a:latin typeface="Calibri" panose="020F0502020204030204" pitchFamily="34" charset="0"/>
              <a:cs typeface="Calibri" panose="020F0502020204030204" pitchFamily="34" charset="0"/>
            </a:rPr>
            <a:t>Pool Heating Cost Calculator</a:t>
          </a:r>
        </a:p>
      </xdr:txBody>
    </xdr:sp>
    <xdr:clientData/>
  </xdr:twoCellAnchor>
  <xdr:twoCellAnchor editAs="oneCell">
    <xdr:from>
      <xdr:col>7</xdr:col>
      <xdr:colOff>142876</xdr:colOff>
      <xdr:row>28</xdr:row>
      <xdr:rowOff>9525</xdr:rowOff>
    </xdr:from>
    <xdr:to>
      <xdr:col>10</xdr:col>
      <xdr:colOff>266700</xdr:colOff>
      <xdr:row>38</xdr:row>
      <xdr:rowOff>253413</xdr:rowOff>
    </xdr:to>
    <xdr:pic>
      <xdr:nvPicPr>
        <xdr:cNvPr id="6" name="Picture 5">
          <a:extLst>
            <a:ext uri="{FF2B5EF4-FFF2-40B4-BE49-F238E27FC236}">
              <a16:creationId xmlns:a16="http://schemas.microsoft.com/office/drawing/2014/main" xmlns="" id="{068286BB-4DD1-46DF-AF27-7FC2AB8B55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86376" y="5419725"/>
          <a:ext cx="2724149" cy="2034588"/>
        </a:xfrm>
        <a:prstGeom prst="rect">
          <a:avLst/>
        </a:prstGeom>
        <a:ln>
          <a:solidFill>
            <a:srgbClr val="002060"/>
          </a:solidFill>
        </a:ln>
      </xdr:spPr>
    </xdr:pic>
    <xdr:clientData/>
  </xdr:twoCellAnchor>
  <xdr:oneCellAnchor>
    <xdr:from>
      <xdr:col>7</xdr:col>
      <xdr:colOff>1</xdr:colOff>
      <xdr:row>43</xdr:row>
      <xdr:rowOff>30480</xdr:rowOff>
    </xdr:from>
    <xdr:ext cx="7924799" cy="998220"/>
    <xdr:sp macro="" textlink="">
      <xdr:nvSpPr>
        <xdr:cNvPr id="4" name="TextBox 3">
          <a:extLst>
            <a:ext uri="{FF2B5EF4-FFF2-40B4-BE49-F238E27FC236}">
              <a16:creationId xmlns:a16="http://schemas.microsoft.com/office/drawing/2014/main" xmlns="" id="{1CA22EEF-CE86-4499-BE59-0653BC5695F4}"/>
            </a:ext>
          </a:extLst>
        </xdr:cNvPr>
        <xdr:cNvSpPr txBox="1"/>
      </xdr:nvSpPr>
      <xdr:spPr>
        <a:xfrm>
          <a:off x="5288281" y="8046720"/>
          <a:ext cx="7924799" cy="998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accent4">
                  <a:lumMod val="50000"/>
                </a:schemeClr>
              </a:solidFill>
            </a:rPr>
            <a:t>The values indicated are valid under ideal conditions and for a standard basic domestic pool. Pool should be covered with an isothermal cover and the heater running for the required hours per day during the hottest part of the day. Waterfalls and other pool features will effect these figures. </a:t>
          </a:r>
        </a:p>
        <a:p>
          <a:endParaRPr lang="en-US" sz="1100">
            <a:solidFill>
              <a:schemeClr val="accent4">
                <a:lumMod val="50000"/>
              </a:schemeClr>
            </a:solidFill>
          </a:endParaRPr>
        </a:p>
        <a:p>
          <a:r>
            <a:rPr lang="en-US" sz="1100">
              <a:solidFill>
                <a:schemeClr val="accent4">
                  <a:lumMod val="50000"/>
                </a:schemeClr>
              </a:solidFill>
            </a:rPr>
            <a:t>The above data is subject to modification without notice</a:t>
          </a:r>
        </a:p>
      </xdr:txBody>
    </xdr:sp>
    <xdr:clientData/>
  </xdr:oneCellAnchor>
  <xdr:twoCellAnchor editAs="oneCell">
    <xdr:from>
      <xdr:col>10</xdr:col>
      <xdr:colOff>1019174</xdr:colOff>
      <xdr:row>28</xdr:row>
      <xdr:rowOff>38101</xdr:rowOff>
    </xdr:from>
    <xdr:to>
      <xdr:col>13</xdr:col>
      <xdr:colOff>304800</xdr:colOff>
      <xdr:row>39</xdr:row>
      <xdr:rowOff>43225</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62999" y="5448301"/>
          <a:ext cx="2343151" cy="2062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530487</xdr:colOff>
      <xdr:row>5</xdr:row>
      <xdr:rowOff>161925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2492637" cy="1114425"/>
        </a:xfrm>
        <a:prstGeom prst="rect">
          <a:avLst/>
        </a:prstGeom>
      </xdr:spPr>
    </xdr:pic>
    <xdr:clientData/>
  </xdr:twoCellAnchor>
  <xdr:twoCellAnchor editAs="oneCell">
    <xdr:from>
      <xdr:col>21</xdr:col>
      <xdr:colOff>297179</xdr:colOff>
      <xdr:row>17</xdr:row>
      <xdr:rowOff>99060</xdr:rowOff>
    </xdr:from>
    <xdr:to>
      <xdr:col>26</xdr:col>
      <xdr:colOff>560069</xdr:colOff>
      <xdr:row>29</xdr:row>
      <xdr:rowOff>128588</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13979" y="3268980"/>
          <a:ext cx="3310890" cy="2224088"/>
        </a:xfrm>
        <a:prstGeom prst="rect">
          <a:avLst/>
        </a:prstGeom>
      </xdr:spPr>
    </xdr:pic>
    <xdr:clientData/>
  </xdr:twoCellAnchor>
  <xdr:twoCellAnchor editAs="oneCell">
    <xdr:from>
      <xdr:col>19</xdr:col>
      <xdr:colOff>458729</xdr:colOff>
      <xdr:row>1</xdr:row>
      <xdr:rowOff>114300</xdr:rowOff>
    </xdr:from>
    <xdr:to>
      <xdr:col>25</xdr:col>
      <xdr:colOff>373379</xdr:colOff>
      <xdr:row>13</xdr:row>
      <xdr:rowOff>109585</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356329" y="297180"/>
          <a:ext cx="3572250" cy="2235565"/>
        </a:xfrm>
        <a:prstGeom prst="rect">
          <a:avLst/>
        </a:prstGeom>
      </xdr:spPr>
    </xdr:pic>
    <xdr:clientData/>
  </xdr:twoCellAnchor>
</xdr:wsDr>
</file>

<file path=xl/tables/table1.xml><?xml version="1.0" encoding="utf-8"?>
<table xmlns="http://schemas.openxmlformats.org/spreadsheetml/2006/main" id="1" name="Table1" displayName="Table1" ref="D16:G30" totalsRowShown="0">
  <autoFilter ref="D16:G30"/>
  <tableColumns count="4">
    <tableColumn id="3" name="Month"/>
    <tableColumn id="1" name="No Cover" dataDxfId="25" totalsRowDxfId="24" dataCellStyle="Currency">
      <calculatedColumnFormula>Table1[[#This Row],[With Cover]]*1.4</calculatedColumnFormula>
    </tableColumn>
    <tableColumn id="2" name="With Cover" dataDxfId="23" totalsRowDxfId="22" dataCellStyle="Currency">
      <calculatedColumnFormula>1.4*(B27/100)</calculatedColumnFormula>
    </tableColumn>
    <tableColumn id="4" name="Season"/>
  </tableColumns>
  <tableStyleInfo name="TableStyleLight16" showFirstColumn="0" showLastColumn="0" showRowStripes="1" showColumnStripes="0"/>
</table>
</file>

<file path=xl/tables/table2.xml><?xml version="1.0" encoding="utf-8"?>
<table xmlns="http://schemas.openxmlformats.org/spreadsheetml/2006/main" id="3" name="Table14" displayName="Table14" ref="I16:L30" totalsRowShown="0">
  <autoFilter ref="I16:L30"/>
  <tableColumns count="4">
    <tableColumn id="3" name="Month"/>
    <tableColumn id="1" name="No Cover" dataDxfId="21" totalsRowDxfId="20" dataCellStyle="Currency">
      <calculatedColumnFormula>Table14[[#This Row],[With Cover]]*1.4</calculatedColumnFormula>
    </tableColumn>
    <tableColumn id="2" name="With Cover" dataDxfId="19" dataCellStyle="Currency"/>
    <tableColumn id="4" name="Season"/>
  </tableColumns>
  <tableStyleInfo name="TableStyleLight16" showFirstColumn="0" showLastColumn="0" showRowStripes="1" showColumnStripes="0"/>
</table>
</file>

<file path=xl/tables/table3.xml><?xml version="1.0" encoding="utf-8"?>
<table xmlns="http://schemas.openxmlformats.org/spreadsheetml/2006/main" id="4" name="Table145" displayName="Table145" ref="N16:Q30" totalsRowShown="0">
  <autoFilter ref="N16:Q30"/>
  <tableColumns count="4">
    <tableColumn id="3" name="Month"/>
    <tableColumn id="1" name="No Cover" dataDxfId="18" totalsRowDxfId="17" dataCellStyle="Currency">
      <calculatedColumnFormula>Table145[[#This Row],[With Cover]]*1.4</calculatedColumnFormula>
    </tableColumn>
    <tableColumn id="2" name="With Cover" dataDxfId="16" dataCellStyle="Currency"/>
    <tableColumn id="4" name="Season"/>
  </tableColumns>
  <tableStyleInfo name="TableStyleLight16" showFirstColumn="0" showLastColumn="0" showRowStripes="1" showColumnStripes="0"/>
</table>
</file>

<file path=xl/tables/table4.xml><?xml version="1.0" encoding="utf-8"?>
<table xmlns="http://schemas.openxmlformats.org/spreadsheetml/2006/main" id="5" name="Table5" displayName="Table5" ref="B35:F41" totalsRowShown="0" headerRowDxfId="15">
  <autoFilter ref="B35:F41"/>
  <tableColumns count="5">
    <tableColumn id="1" name="Heat Pump Size recommend"/>
    <tableColumn id="2" name="." dataDxfId="14"/>
    <tableColumn id="3" name="Full Year Heating" dataDxfId="13"/>
    <tableColumn id="4" name="Extended Season " dataDxfId="12"/>
    <tableColumn id="5" name="Solar Equivalent" dataDxfId="11"/>
  </tableColumns>
  <tableStyleInfo name="TableStyleLight17" showFirstColumn="0" showLastColumn="0" showRowStripes="1" showColumnStripes="0"/>
</table>
</file>

<file path=xl/tables/table5.xml><?xml version="1.0" encoding="utf-8"?>
<table xmlns="http://schemas.openxmlformats.org/spreadsheetml/2006/main" id="6" name="HeaterModels" displayName="HeaterModels" ref="K1:S8" totalsRowShown="0" headerRowDxfId="10" dataDxfId="9" dataCellStyle="Comma">
  <autoFilter ref="K1:S8"/>
  <tableColumns count="9">
    <tableColumn id="1" name="Heater Rating" dataDxfId="8"/>
    <tableColumn id="2" name="Kw PH Draw" dataDxfId="7"/>
    <tableColumn id="3" name="Full Year" dataDxfId="6" dataCellStyle="Comma"/>
    <tableColumn id="4" name="Extended" dataDxfId="5" dataCellStyle="Comma"/>
    <tableColumn id="5" name="Solar" dataDxfId="4" dataCellStyle="Comma"/>
    <tableColumn id="6" name="Heating Factor" dataDxfId="3" dataCellStyle="Comma"/>
    <tableColumn id="7" name="Recommended or Greater" dataDxfId="2" dataCellStyle="Comma">
      <calculatedColumnFormula>IF(Q1=TRUE,TRUE,HeaterModels[[#This Row],[Heater Rating]]=calRecomendedUnit)</calculatedColumnFormula>
    </tableColumn>
    <tableColumn id="8" name="Ranked" dataDxfId="1" dataCellStyle="Comma">
      <calculatedColumnFormula>COUNTIFS($Q$2:Q2,TRUE)</calculatedColumnFormula>
    </tableColumn>
    <tableColumn id="9" name="Heating Hours Factor" dataDxfId="0" dataCellStyle="Comma">
      <calculatedColumnFormula>IF(R2&lt;=1,1,P2*S1)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autoPageBreaks="0" fitToPage="1"/>
  </sheetPr>
  <dimension ref="A6:T48"/>
  <sheetViews>
    <sheetView showGridLines="0" tabSelected="1" zoomScaleNormal="100" workbookViewId="0">
      <selection activeCell="D8" sqref="D8:E8"/>
    </sheetView>
  </sheetViews>
  <sheetFormatPr defaultColWidth="8.85546875" defaultRowHeight="15" x14ac:dyDescent="0.25"/>
  <cols>
    <col min="1" max="2" width="2.42578125" style="20" customWidth="1"/>
    <col min="3" max="3" width="24.85546875" style="20" customWidth="1"/>
    <col min="4" max="4" width="8.85546875" style="20" customWidth="1"/>
    <col min="5" max="5" width="6" style="20" customWidth="1"/>
    <col min="6" max="6" width="20.28515625" style="20" customWidth="1"/>
    <col min="7" max="7" width="12.28515625" style="20" customWidth="1"/>
    <col min="8" max="8" width="10.5703125" style="20" customWidth="1"/>
    <col min="9" max="9" width="13.140625" style="20" customWidth="1"/>
    <col min="10" max="15" width="15.28515625" style="20" customWidth="1"/>
    <col min="16" max="16" width="3.5703125" style="20" customWidth="1"/>
    <col min="17" max="19" width="8.85546875" style="20"/>
    <col min="20" max="20" width="2.85546875" style="20" customWidth="1"/>
    <col min="21" max="27" width="8.85546875" style="20"/>
    <col min="28" max="28" width="8.85546875" style="20" customWidth="1"/>
    <col min="29" max="29" width="27.85546875" style="20" bestFit="1" customWidth="1"/>
    <col min="30" max="30" width="23.5703125" style="20" bestFit="1" customWidth="1"/>
    <col min="31" max="16384" width="8.85546875" style="20"/>
  </cols>
  <sheetData>
    <row r="6" spans="2:15" ht="21" x14ac:dyDescent="0.4">
      <c r="B6" s="29" t="s">
        <v>65</v>
      </c>
      <c r="D6" s="23"/>
      <c r="E6" s="23"/>
    </row>
    <row r="7" spans="2:15" ht="6" customHeight="1" x14ac:dyDescent="0.3"/>
    <row r="8" spans="2:15" thickBot="1" x14ac:dyDescent="0.35">
      <c r="C8" s="21" t="s">
        <v>64</v>
      </c>
      <c r="D8" s="99" t="s">
        <v>5</v>
      </c>
      <c r="E8" s="100"/>
      <c r="K8" s="80" t="s">
        <v>93</v>
      </c>
      <c r="L8" s="80"/>
      <c r="M8" s="80" t="s">
        <v>94</v>
      </c>
      <c r="N8" s="80"/>
      <c r="O8" s="80" t="s">
        <v>95</v>
      </c>
    </row>
    <row r="9" spans="2:15" ht="6" customHeight="1" x14ac:dyDescent="0.25">
      <c r="C9" s="21"/>
      <c r="D9" s="21"/>
      <c r="E9" s="21"/>
      <c r="J9" s="113" t="s">
        <v>78</v>
      </c>
      <c r="K9" s="114"/>
      <c r="L9" s="114" t="s">
        <v>77</v>
      </c>
      <c r="M9" s="114"/>
      <c r="N9" s="114" t="s">
        <v>76</v>
      </c>
      <c r="O9" s="117"/>
    </row>
    <row r="10" spans="2:15" ht="15.75" thickBot="1" x14ac:dyDescent="0.3">
      <c r="C10" s="21" t="s">
        <v>0</v>
      </c>
      <c r="D10" s="21"/>
      <c r="E10" s="21"/>
      <c r="H10" s="32"/>
      <c r="I10" s="32"/>
      <c r="J10" s="115"/>
      <c r="K10" s="116"/>
      <c r="L10" s="116"/>
      <c r="M10" s="116"/>
      <c r="N10" s="116"/>
      <c r="O10" s="118"/>
    </row>
    <row r="11" spans="2:15" ht="15.6" x14ac:dyDescent="0.3">
      <c r="C11" s="25" t="s">
        <v>58</v>
      </c>
      <c r="D11" s="50">
        <v>15</v>
      </c>
      <c r="E11" s="26" t="s">
        <v>61</v>
      </c>
      <c r="H11" s="33" t="s">
        <v>18</v>
      </c>
      <c r="I11" s="37" t="s">
        <v>36</v>
      </c>
      <c r="J11" s="33" t="s">
        <v>16</v>
      </c>
      <c r="K11" s="81" t="s">
        <v>17</v>
      </c>
      <c r="L11" s="33" t="s">
        <v>16</v>
      </c>
      <c r="M11" s="81" t="s">
        <v>17</v>
      </c>
      <c r="N11" s="82" t="s">
        <v>16</v>
      </c>
      <c r="O11" s="81" t="s">
        <v>17</v>
      </c>
    </row>
    <row r="12" spans="2:15" x14ac:dyDescent="0.25">
      <c r="C12" s="25" t="s">
        <v>59</v>
      </c>
      <c r="D12" s="50"/>
      <c r="E12" s="26" t="s">
        <v>61</v>
      </c>
      <c r="H12" s="34" t="s">
        <v>19</v>
      </c>
      <c r="I12" s="102" t="s">
        <v>33</v>
      </c>
      <c r="J12" s="88">
        <f t="shared" ref="J12:J23" si="0">K12*NoCoverFactor</f>
        <v>50.777999999999999</v>
      </c>
      <c r="K12" s="71">
        <f>Calculations!$D17*calCostPerHour</f>
        <v>39.059999999999995</v>
      </c>
      <c r="L12" s="88">
        <f t="shared" ref="L12:L23" si="1">J12</f>
        <v>50.777999999999999</v>
      </c>
      <c r="M12" s="71">
        <f t="shared" ref="M12:M23" si="2">K12</f>
        <v>39.059999999999995</v>
      </c>
      <c r="N12" s="93">
        <f t="shared" ref="N12:N23" si="3">J12</f>
        <v>50.777999999999999</v>
      </c>
      <c r="O12" s="71">
        <f t="shared" ref="O12:O23" si="4">K12</f>
        <v>39.059999999999995</v>
      </c>
    </row>
    <row r="13" spans="2:15" x14ac:dyDescent="0.25">
      <c r="C13" s="25" t="s">
        <v>60</v>
      </c>
      <c r="D13" s="50">
        <v>1.2</v>
      </c>
      <c r="E13" s="26" t="s">
        <v>61</v>
      </c>
      <c r="H13" s="35" t="s">
        <v>20</v>
      </c>
      <c r="I13" s="103"/>
      <c r="J13" s="89">
        <f t="shared" si="0"/>
        <v>45.864000000000004</v>
      </c>
      <c r="K13" s="72">
        <f>Calculations!$D18*calCostPerHour</f>
        <v>35.28</v>
      </c>
      <c r="L13" s="89">
        <f t="shared" si="1"/>
        <v>45.864000000000004</v>
      </c>
      <c r="M13" s="72">
        <f t="shared" si="2"/>
        <v>35.28</v>
      </c>
      <c r="N13" s="94">
        <f t="shared" si="3"/>
        <v>45.864000000000004</v>
      </c>
      <c r="O13" s="72">
        <f t="shared" si="4"/>
        <v>35.28</v>
      </c>
    </row>
    <row r="14" spans="2:15" x14ac:dyDescent="0.25">
      <c r="C14" s="27"/>
      <c r="F14" s="28"/>
      <c r="G14" s="26"/>
      <c r="H14" s="34" t="s">
        <v>21</v>
      </c>
      <c r="I14" s="104" t="s">
        <v>34</v>
      </c>
      <c r="J14" s="88">
        <f t="shared" si="0"/>
        <v>118.482</v>
      </c>
      <c r="K14" s="71">
        <f>Calculations!$D19*calCostPerHour</f>
        <v>91.14</v>
      </c>
      <c r="L14" s="88">
        <f t="shared" si="1"/>
        <v>118.482</v>
      </c>
      <c r="M14" s="71">
        <f t="shared" si="2"/>
        <v>91.14</v>
      </c>
      <c r="N14" s="93">
        <f t="shared" si="3"/>
        <v>118.482</v>
      </c>
      <c r="O14" s="71">
        <f t="shared" si="4"/>
        <v>91.14</v>
      </c>
    </row>
    <row r="15" spans="2:15" x14ac:dyDescent="0.25">
      <c r="C15" s="30" t="s">
        <v>73</v>
      </c>
      <c r="D15" s="62">
        <f>D11*D12*D13*1000</f>
        <v>0</v>
      </c>
      <c r="E15" s="26" t="s">
        <v>62</v>
      </c>
      <c r="H15" s="36" t="s">
        <v>22</v>
      </c>
      <c r="I15" s="105"/>
      <c r="J15" s="90">
        <f t="shared" si="0"/>
        <v>114.66000000000001</v>
      </c>
      <c r="K15" s="73">
        <f>Calculations!$D20*calCostPerHour</f>
        <v>88.2</v>
      </c>
      <c r="L15" s="90">
        <f t="shared" si="1"/>
        <v>114.66000000000001</v>
      </c>
      <c r="M15" s="73">
        <f t="shared" si="2"/>
        <v>88.2</v>
      </c>
      <c r="N15" s="95"/>
      <c r="O15" s="48"/>
    </row>
    <row r="16" spans="2:15" x14ac:dyDescent="0.25">
      <c r="C16" s="27"/>
      <c r="F16" s="28"/>
      <c r="G16" s="26"/>
      <c r="H16" s="36" t="s">
        <v>23</v>
      </c>
      <c r="I16" s="105"/>
      <c r="J16" s="90">
        <f t="shared" si="0"/>
        <v>118.482</v>
      </c>
      <c r="K16" s="73">
        <f>Calculations!$D21*calCostPerHour</f>
        <v>91.14</v>
      </c>
      <c r="L16" s="90">
        <f t="shared" si="1"/>
        <v>118.482</v>
      </c>
      <c r="M16" s="73">
        <f t="shared" si="2"/>
        <v>91.14</v>
      </c>
      <c r="N16" s="95"/>
      <c r="O16" s="48"/>
    </row>
    <row r="17" spans="2:20" x14ac:dyDescent="0.25">
      <c r="C17" s="21" t="s">
        <v>2</v>
      </c>
      <c r="D17" s="51">
        <v>28</v>
      </c>
      <c r="E17" s="21"/>
      <c r="H17" s="34" t="s">
        <v>24</v>
      </c>
      <c r="I17" s="104" t="s">
        <v>32</v>
      </c>
      <c r="J17" s="88">
        <f t="shared" si="0"/>
        <v>180.18</v>
      </c>
      <c r="K17" s="71">
        <f>Calculations!$D22*calCostPerHour</f>
        <v>138.6</v>
      </c>
      <c r="L17" s="88"/>
      <c r="M17" s="71"/>
      <c r="N17" s="96"/>
      <c r="O17" s="46"/>
    </row>
    <row r="18" spans="2:20" x14ac:dyDescent="0.25">
      <c r="C18" s="21"/>
      <c r="D18" s="21"/>
      <c r="E18" s="21"/>
      <c r="H18" s="36" t="s">
        <v>25</v>
      </c>
      <c r="I18" s="105"/>
      <c r="J18" s="90">
        <f t="shared" si="0"/>
        <v>186.18600000000001</v>
      </c>
      <c r="K18" s="73">
        <f>Calculations!$D23*calCostPerHour</f>
        <v>143.22</v>
      </c>
      <c r="L18" s="91"/>
      <c r="M18" s="48"/>
      <c r="N18" s="95"/>
      <c r="O18" s="48"/>
    </row>
    <row r="19" spans="2:20" x14ac:dyDescent="0.25">
      <c r="C19" s="21" t="s">
        <v>74</v>
      </c>
      <c r="D19" s="51" t="s">
        <v>75</v>
      </c>
      <c r="E19" s="21"/>
      <c r="H19" s="35" t="s">
        <v>26</v>
      </c>
      <c r="I19" s="106"/>
      <c r="J19" s="89">
        <f t="shared" si="0"/>
        <v>186.18600000000001</v>
      </c>
      <c r="K19" s="72">
        <f>Calculations!$D24*calCostPerHour</f>
        <v>143.22</v>
      </c>
      <c r="L19" s="92"/>
      <c r="M19" s="47"/>
      <c r="N19" s="97"/>
      <c r="O19" s="47"/>
      <c r="T19" s="80" t="s">
        <v>53</v>
      </c>
    </row>
    <row r="20" spans="2:20" x14ac:dyDescent="0.25">
      <c r="C20" s="21"/>
      <c r="D20" s="21"/>
      <c r="E20" s="21"/>
      <c r="H20" s="34" t="s">
        <v>27</v>
      </c>
      <c r="I20" s="102" t="s">
        <v>35</v>
      </c>
      <c r="J20" s="88">
        <f t="shared" si="0"/>
        <v>114.66000000000001</v>
      </c>
      <c r="K20" s="71">
        <f>Calculations!$D25*calCostPerHour</f>
        <v>88.2</v>
      </c>
      <c r="L20" s="88">
        <f t="shared" si="1"/>
        <v>114.66000000000001</v>
      </c>
      <c r="M20" s="71">
        <f t="shared" si="2"/>
        <v>88.2</v>
      </c>
      <c r="N20" s="96"/>
      <c r="O20" s="46"/>
    </row>
    <row r="21" spans="2:20" x14ac:dyDescent="0.25">
      <c r="C21" s="21" t="s">
        <v>56</v>
      </c>
      <c r="D21" s="99" t="s">
        <v>11</v>
      </c>
      <c r="E21" s="101"/>
      <c r="F21" s="100"/>
      <c r="H21" s="36" t="s">
        <v>28</v>
      </c>
      <c r="I21" s="107"/>
      <c r="J21" s="90">
        <f t="shared" si="0"/>
        <v>118.482</v>
      </c>
      <c r="K21" s="73">
        <f>Calculations!$D26*calCostPerHour</f>
        <v>91.14</v>
      </c>
      <c r="L21" s="90">
        <f t="shared" si="1"/>
        <v>118.482</v>
      </c>
      <c r="M21" s="73">
        <f t="shared" si="2"/>
        <v>91.14</v>
      </c>
      <c r="N21" s="98">
        <f t="shared" si="3"/>
        <v>118.482</v>
      </c>
      <c r="O21" s="73">
        <f t="shared" si="4"/>
        <v>91.14</v>
      </c>
    </row>
    <row r="22" spans="2:20" x14ac:dyDescent="0.25">
      <c r="C22" s="21"/>
      <c r="D22" s="21"/>
      <c r="E22" s="21"/>
      <c r="F22" s="21"/>
      <c r="H22" s="35" t="s">
        <v>29</v>
      </c>
      <c r="I22" s="108"/>
      <c r="J22" s="89">
        <f t="shared" si="0"/>
        <v>114.66000000000001</v>
      </c>
      <c r="K22" s="72">
        <f>Calculations!$D27*calCostPerHour</f>
        <v>88.2</v>
      </c>
      <c r="L22" s="89">
        <f t="shared" si="1"/>
        <v>114.66000000000001</v>
      </c>
      <c r="M22" s="72">
        <f t="shared" si="2"/>
        <v>88.2</v>
      </c>
      <c r="N22" s="94">
        <f t="shared" si="3"/>
        <v>114.66000000000001</v>
      </c>
      <c r="O22" s="72">
        <f t="shared" si="4"/>
        <v>88.2</v>
      </c>
    </row>
    <row r="23" spans="2:20" thickBot="1" x14ac:dyDescent="0.35">
      <c r="C23" s="21" t="s">
        <v>57</v>
      </c>
      <c r="D23" s="52">
        <v>30</v>
      </c>
      <c r="E23" s="26" t="s">
        <v>63</v>
      </c>
      <c r="H23" s="83" t="s">
        <v>30</v>
      </c>
      <c r="I23" s="84" t="s">
        <v>33</v>
      </c>
      <c r="J23" s="85">
        <f t="shared" si="0"/>
        <v>50.777999999999999</v>
      </c>
      <c r="K23" s="86">
        <f>Calculations!$D28*calCostPerHour</f>
        <v>39.059999999999995</v>
      </c>
      <c r="L23" s="85">
        <f t="shared" si="1"/>
        <v>50.777999999999999</v>
      </c>
      <c r="M23" s="86">
        <f t="shared" si="2"/>
        <v>39.059999999999995</v>
      </c>
      <c r="N23" s="87">
        <f t="shared" si="3"/>
        <v>50.777999999999999</v>
      </c>
      <c r="O23" s="86">
        <f t="shared" si="4"/>
        <v>39.059999999999995</v>
      </c>
    </row>
    <row r="24" spans="2:20" x14ac:dyDescent="0.25">
      <c r="J24" s="49"/>
      <c r="K24" s="49"/>
      <c r="L24" s="49"/>
      <c r="M24" s="49"/>
      <c r="N24" s="49"/>
      <c r="O24" s="49"/>
    </row>
    <row r="25" spans="2:20" ht="19.5" thickBot="1" x14ac:dyDescent="0.3">
      <c r="H25" s="53" t="s">
        <v>115</v>
      </c>
    </row>
    <row r="26" spans="2:20" ht="21.6" customHeight="1" x14ac:dyDescent="0.25">
      <c r="H26" s="109" t="s">
        <v>114</v>
      </c>
      <c r="I26" s="110"/>
      <c r="J26" s="74">
        <f>SUM(J12:J23)</f>
        <v>1399.3980000000001</v>
      </c>
      <c r="K26" s="75">
        <f t="shared" ref="K26:O26" si="5">SUM(K12:K23)</f>
        <v>1076.46</v>
      </c>
      <c r="L26" s="74">
        <f t="shared" si="5"/>
        <v>846.84599999999989</v>
      </c>
      <c r="M26" s="75">
        <f t="shared" si="5"/>
        <v>651.41999999999996</v>
      </c>
      <c r="N26" s="76">
        <f t="shared" si="5"/>
        <v>499.04400000000004</v>
      </c>
      <c r="O26" s="75">
        <f t="shared" si="5"/>
        <v>383.88</v>
      </c>
    </row>
    <row r="27" spans="2:20" ht="21.75" thickBot="1" x14ac:dyDescent="0.4">
      <c r="B27" s="29" t="s">
        <v>123</v>
      </c>
      <c r="C27" s="54"/>
      <c r="D27" s="31"/>
      <c r="H27" s="111" t="s">
        <v>40</v>
      </c>
      <c r="I27" s="112"/>
      <c r="J27" s="77">
        <f t="shared" ref="J27:O27" si="6">J26*InverterFactor</f>
        <v>839.63880000000006</v>
      </c>
      <c r="K27" s="78">
        <f t="shared" si="6"/>
        <v>645.87599999999998</v>
      </c>
      <c r="L27" s="77">
        <f t="shared" si="6"/>
        <v>508.10759999999993</v>
      </c>
      <c r="M27" s="78">
        <f t="shared" si="6"/>
        <v>390.85199999999998</v>
      </c>
      <c r="N27" s="79">
        <f t="shared" si="6"/>
        <v>299.4264</v>
      </c>
      <c r="O27" s="78">
        <f t="shared" si="6"/>
        <v>230.32799999999997</v>
      </c>
    </row>
    <row r="28" spans="2:20" x14ac:dyDescent="0.25">
      <c r="C28" s="54" t="s">
        <v>124</v>
      </c>
    </row>
    <row r="29" spans="2:20" x14ac:dyDescent="0.25">
      <c r="C29" s="63" t="str">
        <f>Calculations!B31</f>
        <v>Aquatight Saturn Inverter Model iX09</v>
      </c>
    </row>
    <row r="30" spans="2:20" x14ac:dyDescent="0.25">
      <c r="C30" s="63" t="str">
        <f>Calculations!B32</f>
        <v/>
      </c>
    </row>
    <row r="31" spans="2:20" x14ac:dyDescent="0.25">
      <c r="C31" s="63" t="str">
        <f>Calculations!B33</f>
        <v/>
      </c>
    </row>
    <row r="32" spans="2:20" x14ac:dyDescent="0.25">
      <c r="C32" s="63" t="str">
        <f>Calculations!B34</f>
        <v/>
      </c>
    </row>
    <row r="33" spans="1:5" x14ac:dyDescent="0.25">
      <c r="C33" s="63" t="str">
        <f>Calculations!B35</f>
        <v/>
      </c>
    </row>
    <row r="34" spans="1:5" x14ac:dyDescent="0.25">
      <c r="C34" s="30"/>
    </row>
    <row r="35" spans="1:5" x14ac:dyDescent="0.25">
      <c r="C35" s="54" t="s">
        <v>125</v>
      </c>
    </row>
    <row r="36" spans="1:5" ht="6" customHeight="1" x14ac:dyDescent="0.25">
      <c r="C36" s="21"/>
      <c r="D36" s="21"/>
      <c r="E36" s="21"/>
    </row>
    <row r="37" spans="1:5" x14ac:dyDescent="0.25">
      <c r="C37" s="61" t="s">
        <v>128</v>
      </c>
    </row>
    <row r="38" spans="1:5" x14ac:dyDescent="0.25">
      <c r="C38" s="54"/>
    </row>
    <row r="39" spans="1:5" ht="21" x14ac:dyDescent="0.35">
      <c r="B39" s="29" t="s">
        <v>68</v>
      </c>
    </row>
    <row r="40" spans="1:5" ht="15.75" x14ac:dyDescent="0.25">
      <c r="C40" s="22" t="s">
        <v>69</v>
      </c>
    </row>
    <row r="41" spans="1:5" ht="18.75" x14ac:dyDescent="0.3">
      <c r="C41" s="30" t="s">
        <v>70</v>
      </c>
      <c r="D41" s="64">
        <f>D42*InverterFactor</f>
        <v>645.87599999999998</v>
      </c>
      <c r="E41" s="26" t="s">
        <v>72</v>
      </c>
    </row>
    <row r="42" spans="1:5" ht="18.75" x14ac:dyDescent="0.3">
      <c r="C42" s="30" t="s">
        <v>71</v>
      </c>
      <c r="D42" s="64">
        <f>INDEX(J26:O26,1,MATCH(calSeason,J8:O8,0))*IF(txtPoolCover="No",NoCoverFactor,1)</f>
        <v>1076.46</v>
      </c>
      <c r="E42" s="26" t="s">
        <v>72</v>
      </c>
    </row>
    <row r="47" spans="1:5" x14ac:dyDescent="0.25">
      <c r="A47" s="20" t="s">
        <v>79</v>
      </c>
    </row>
    <row r="48" spans="1:5" x14ac:dyDescent="0.25">
      <c r="A48" s="20" t="s">
        <v>80</v>
      </c>
    </row>
  </sheetData>
  <sheetProtection password="9794" sheet="1" objects="1" scenarios="1" selectLockedCells="1"/>
  <mergeCells count="11">
    <mergeCell ref="H26:I26"/>
    <mergeCell ref="H27:I27"/>
    <mergeCell ref="J9:K10"/>
    <mergeCell ref="L9:M10"/>
    <mergeCell ref="N9:O10"/>
    <mergeCell ref="D8:E8"/>
    <mergeCell ref="D21:F21"/>
    <mergeCell ref="I12:I13"/>
    <mergeCell ref="I14:I16"/>
    <mergeCell ref="I17:I19"/>
    <mergeCell ref="I20:I22"/>
  </mergeCells>
  <dataValidations count="7">
    <dataValidation type="whole" operator="greaterThan" allowBlank="1" showInputMessage="1" showErrorMessage="1" errorTitle="Data Entry Error" error="Please enter the cost as a number of cents per KW hour" sqref="D23">
      <formula1>0</formula1>
    </dataValidation>
    <dataValidation type="list" allowBlank="1" showInputMessage="1" showErrorMessage="1" errorTitle="Data Entry Error" error="Please select from the drop down list" sqref="D8:E8">
      <formula1>ddLocation</formula1>
    </dataValidation>
    <dataValidation type="list" allowBlank="1" showInputMessage="1" showErrorMessage="1" errorTitle="Data Entry Error" error="Please select from the drop down list" sqref="D21:F21">
      <formula1>ddSeasons</formula1>
    </dataValidation>
    <dataValidation type="decimal" operator="greaterThan" allowBlank="1" showInputMessage="1" showErrorMessage="1" errorTitle="Data Entry Error" error="Please enter the number of metres as a number" sqref="D11:D13">
      <formula1>0</formula1>
    </dataValidation>
    <dataValidation type="list" operator="greaterThan" allowBlank="1" showInputMessage="1" showErrorMessage="1" errorTitle="Data Entry Error" error="Please select from the drop down list" sqref="D17">
      <formula1>ddTemp</formula1>
    </dataValidation>
    <dataValidation type="list" operator="greaterThan" allowBlank="1" showInputMessage="1" showErrorMessage="1" errorTitle="Data Entry Error" error="Please select from the drop down list" sqref="D19">
      <formula1>"Yes, No"</formula1>
    </dataValidation>
    <dataValidation type="list" allowBlank="1" showInputMessage="1" showErrorMessage="1" errorTitle="Data Entry Error" error="Please select from Drop Down List" sqref="C37">
      <formula1>ddUpgradeHeaters</formula1>
    </dataValidation>
  </dataValidations>
  <pageMargins left="0.25" right="0.25" top="0.4" bottom="0.33"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Q41"/>
  <sheetViews>
    <sheetView showGridLines="0" topLeftCell="A4" workbookViewId="0">
      <selection activeCell="D14" sqref="D14:O14"/>
    </sheetView>
  </sheetViews>
  <sheetFormatPr defaultRowHeight="15" x14ac:dyDescent="0.25"/>
  <cols>
    <col min="1" max="1" width="30.140625" customWidth="1"/>
    <col min="2" max="2" width="28" customWidth="1"/>
    <col min="3" max="3" width="2.5703125" customWidth="1"/>
    <col min="4" max="4" width="20.7109375" customWidth="1"/>
    <col min="5" max="5" width="20.85546875" customWidth="1"/>
    <col min="6" max="6" width="20.28515625" customWidth="1"/>
    <col min="7" max="7" width="12" customWidth="1"/>
    <col min="8" max="8" width="3" customWidth="1"/>
    <col min="9" max="9" width="16" customWidth="1"/>
    <col min="10" max="10" width="15.42578125" customWidth="1"/>
    <col min="11" max="11" width="15.85546875" customWidth="1"/>
    <col min="12" max="12" width="12.85546875" customWidth="1"/>
    <col min="13" max="13" width="3.28515625" customWidth="1"/>
    <col min="14" max="14" width="16.140625" customWidth="1"/>
    <col min="15" max="15" width="12.85546875" customWidth="1"/>
    <col min="16" max="16" width="14.7109375" customWidth="1"/>
    <col min="17" max="17" width="13" customWidth="1"/>
  </cols>
  <sheetData>
    <row r="8" spans="1:17" ht="14.45" x14ac:dyDescent="0.3">
      <c r="A8" t="s">
        <v>15</v>
      </c>
      <c r="B8" s="19" t="s">
        <v>7</v>
      </c>
    </row>
    <row r="11" spans="1:17" ht="18" x14ac:dyDescent="0.35">
      <c r="A11" s="13" t="s">
        <v>0</v>
      </c>
      <c r="B11" s="1"/>
    </row>
    <row r="12" spans="1:17" ht="14.45" x14ac:dyDescent="0.3">
      <c r="A12" t="s">
        <v>12</v>
      </c>
      <c r="B12" s="19">
        <v>8</v>
      </c>
    </row>
    <row r="13" spans="1:17" ht="14.45" x14ac:dyDescent="0.3">
      <c r="B13" s="2"/>
    </row>
    <row r="14" spans="1:17" ht="15.6" x14ac:dyDescent="0.3">
      <c r="A14" t="s">
        <v>13</v>
      </c>
      <c r="B14" s="19">
        <v>4</v>
      </c>
      <c r="D14" s="12" t="s">
        <v>37</v>
      </c>
      <c r="E14" s="12"/>
      <c r="F14" s="12"/>
      <c r="G14" s="12"/>
      <c r="H14" s="12"/>
      <c r="I14" s="12" t="s">
        <v>38</v>
      </c>
      <c r="J14" s="12"/>
      <c r="K14" s="12"/>
      <c r="N14" s="12" t="s">
        <v>41</v>
      </c>
    </row>
    <row r="15" spans="1:17" ht="14.45" x14ac:dyDescent="0.3">
      <c r="B15" s="3"/>
    </row>
    <row r="16" spans="1:17" ht="14.45" x14ac:dyDescent="0.3">
      <c r="A16" t="s">
        <v>14</v>
      </c>
      <c r="B16" s="19">
        <v>1.2</v>
      </c>
      <c r="D16" t="s">
        <v>18</v>
      </c>
      <c r="E16" t="s">
        <v>16</v>
      </c>
      <c r="F16" t="s">
        <v>17</v>
      </c>
      <c r="G16" t="s">
        <v>36</v>
      </c>
      <c r="I16" t="s">
        <v>18</v>
      </c>
      <c r="J16" t="s">
        <v>16</v>
      </c>
      <c r="K16" t="s">
        <v>17</v>
      </c>
      <c r="L16" t="s">
        <v>36</v>
      </c>
      <c r="N16" t="s">
        <v>18</v>
      </c>
      <c r="O16" t="s">
        <v>16</v>
      </c>
      <c r="P16" t="s">
        <v>17</v>
      </c>
      <c r="Q16" t="s">
        <v>36</v>
      </c>
    </row>
    <row r="17" spans="1:17" ht="14.45" x14ac:dyDescent="0.3">
      <c r="B17" s="3"/>
      <c r="D17" s="5" t="s">
        <v>19</v>
      </c>
      <c r="E17" s="11">
        <f>Table1[[#This Row],[With Cover]]*1.4</f>
        <v>70.308000000000007</v>
      </c>
      <c r="F17" s="11">
        <f>B29*(B27/100)*3*31</f>
        <v>50.220000000000006</v>
      </c>
      <c r="G17" s="5" t="s">
        <v>33</v>
      </c>
      <c r="I17" s="5" t="s">
        <v>19</v>
      </c>
      <c r="J17" s="11">
        <f>Table14[[#This Row],[With Cover]]*1.4</f>
        <v>70.308000000000007</v>
      </c>
      <c r="K17" s="11">
        <f>B29*(B27/100)*3*31</f>
        <v>50.220000000000006</v>
      </c>
      <c r="L17" s="5" t="s">
        <v>33</v>
      </c>
      <c r="N17" s="5" t="s">
        <v>19</v>
      </c>
      <c r="O17" s="11">
        <f>Table145[[#This Row],[With Cover]]*1.4</f>
        <v>70.308000000000007</v>
      </c>
      <c r="P17" s="11">
        <f>B29*(B27/100)*3*31</f>
        <v>50.220000000000006</v>
      </c>
      <c r="Q17" s="5" t="s">
        <v>33</v>
      </c>
    </row>
    <row r="18" spans="1:17" ht="14.45" x14ac:dyDescent="0.3">
      <c r="A18" t="s">
        <v>1</v>
      </c>
      <c r="B18" s="4">
        <f>B12*B14*B16*1000</f>
        <v>38400</v>
      </c>
      <c r="D18" s="5" t="s">
        <v>20</v>
      </c>
      <c r="E18" s="11">
        <f>Table1[[#This Row],[With Cover]]*1.4</f>
        <v>63.503999999999998</v>
      </c>
      <c r="F18" s="11">
        <f>B29*(B27/100)*3*28</f>
        <v>45.36</v>
      </c>
      <c r="G18" s="5"/>
      <c r="I18" s="5" t="s">
        <v>20</v>
      </c>
      <c r="J18" s="11">
        <f>Table14[[#This Row],[With Cover]]*1.4</f>
        <v>63.503999999999998</v>
      </c>
      <c r="K18" s="11">
        <f>B29*(B27/100)*3*28</f>
        <v>45.36</v>
      </c>
      <c r="L18" s="5"/>
      <c r="N18" s="5" t="s">
        <v>20</v>
      </c>
      <c r="O18" s="11">
        <f>Table145[[#This Row],[With Cover]]*1.4</f>
        <v>63.503999999999998</v>
      </c>
      <c r="P18" s="11">
        <f>B29*(B27/100)*3*28</f>
        <v>45.36</v>
      </c>
      <c r="Q18" s="5"/>
    </row>
    <row r="19" spans="1:17" ht="14.45" x14ac:dyDescent="0.3">
      <c r="D19" s="7" t="s">
        <v>21</v>
      </c>
      <c r="E19" s="10">
        <f>Table1[[#This Row],[With Cover]]*1.4</f>
        <v>164.05199999999999</v>
      </c>
      <c r="F19" s="10">
        <f>B29*(B27/100)*7*31</f>
        <v>117.18</v>
      </c>
      <c r="G19" s="7" t="s">
        <v>34</v>
      </c>
      <c r="I19" s="7" t="s">
        <v>21</v>
      </c>
      <c r="J19" s="10">
        <f>Table14[[#This Row],[With Cover]]*1.4</f>
        <v>164.05199999999999</v>
      </c>
      <c r="K19" s="10">
        <f>B29*(B27/100)*7*31</f>
        <v>117.18</v>
      </c>
      <c r="L19" s="7" t="s">
        <v>34</v>
      </c>
      <c r="N19" s="7" t="s">
        <v>21</v>
      </c>
      <c r="O19" s="10">
        <f>Table145[[#This Row],[With Cover]]*1.4</f>
        <v>164.05199999999999</v>
      </c>
      <c r="P19" s="10">
        <f>B29*(B27/100)*7*31</f>
        <v>117.18</v>
      </c>
      <c r="Q19" s="7" t="s">
        <v>34</v>
      </c>
    </row>
    <row r="20" spans="1:17" ht="14.45" x14ac:dyDescent="0.3">
      <c r="D20" s="7" t="s">
        <v>22</v>
      </c>
      <c r="E20" s="10">
        <f>Table1[[#This Row],[With Cover]]*1.4</f>
        <v>158.76</v>
      </c>
      <c r="F20" s="10">
        <f>B29*(B27/100)*7*30</f>
        <v>113.4</v>
      </c>
      <c r="G20" s="7"/>
      <c r="I20" s="7" t="s">
        <v>22</v>
      </c>
      <c r="J20" s="10">
        <f>Table14[[#This Row],[With Cover]]*1.4</f>
        <v>158.76</v>
      </c>
      <c r="K20" s="10">
        <f>B29*(B27/100)*7*30</f>
        <v>113.4</v>
      </c>
      <c r="L20" s="7"/>
      <c r="N20" s="7" t="s">
        <v>22</v>
      </c>
      <c r="O20" s="10">
        <v>0</v>
      </c>
      <c r="P20" s="10">
        <v>0</v>
      </c>
      <c r="Q20" s="7"/>
    </row>
    <row r="21" spans="1:17" ht="14.45" x14ac:dyDescent="0.3">
      <c r="D21" s="7" t="s">
        <v>23</v>
      </c>
      <c r="E21" s="10">
        <f>Table1[[#This Row],[With Cover]]*1.4</f>
        <v>164.05199999999999</v>
      </c>
      <c r="F21" s="10">
        <f>B29*(B27/100)*7*31</f>
        <v>117.18</v>
      </c>
      <c r="G21" s="7"/>
      <c r="I21" s="7" t="s">
        <v>23</v>
      </c>
      <c r="J21" s="10">
        <f>Table14[[#This Row],[With Cover]]*1.4</f>
        <v>164.05199999999999</v>
      </c>
      <c r="K21" s="10">
        <f>B29*(B27/100)*7*31</f>
        <v>117.18</v>
      </c>
      <c r="L21" s="7"/>
      <c r="N21" s="7" t="s">
        <v>23</v>
      </c>
      <c r="O21" s="10">
        <v>0</v>
      </c>
      <c r="P21" s="10">
        <v>0</v>
      </c>
      <c r="Q21" s="7"/>
    </row>
    <row r="22" spans="1:17" ht="14.45" x14ac:dyDescent="0.3">
      <c r="A22" t="s">
        <v>2</v>
      </c>
      <c r="B22" s="19">
        <v>30</v>
      </c>
      <c r="D22" s="6" t="s">
        <v>24</v>
      </c>
      <c r="E22" s="9">
        <f>Table1[[#This Row],[With Cover]]*1.4</f>
        <v>249.48000000000002</v>
      </c>
      <c r="F22" s="9">
        <f>B29*(B27/100)*11*30</f>
        <v>178.20000000000002</v>
      </c>
      <c r="G22" s="6"/>
      <c r="I22" s="6" t="s">
        <v>24</v>
      </c>
      <c r="J22" s="9">
        <v>0</v>
      </c>
      <c r="K22" s="9">
        <v>0</v>
      </c>
      <c r="L22" s="6"/>
      <c r="N22" s="6" t="s">
        <v>24</v>
      </c>
      <c r="O22" s="9">
        <v>0</v>
      </c>
      <c r="P22" s="9">
        <v>0</v>
      </c>
      <c r="Q22" s="6"/>
    </row>
    <row r="23" spans="1:17" ht="14.45" x14ac:dyDescent="0.3">
      <c r="B23" s="3"/>
      <c r="D23" s="6" t="s">
        <v>25</v>
      </c>
      <c r="E23" s="9">
        <f>Table1[[#This Row],[With Cover]]*1.4</f>
        <v>257.79599999999999</v>
      </c>
      <c r="F23" s="9">
        <f>B29*(B27/100)*11*31</f>
        <v>184.14000000000001</v>
      </c>
      <c r="G23" s="6" t="s">
        <v>32</v>
      </c>
      <c r="I23" s="6" t="s">
        <v>25</v>
      </c>
      <c r="J23" s="9">
        <v>0</v>
      </c>
      <c r="K23" s="9">
        <v>0</v>
      </c>
      <c r="L23" s="6" t="s">
        <v>32</v>
      </c>
      <c r="N23" s="6" t="s">
        <v>25</v>
      </c>
      <c r="O23" s="9">
        <v>0</v>
      </c>
      <c r="P23" s="9">
        <v>0</v>
      </c>
      <c r="Q23" s="6" t="s">
        <v>32</v>
      </c>
    </row>
    <row r="24" spans="1:17" ht="14.45" x14ac:dyDescent="0.3">
      <c r="A24" t="s">
        <v>3</v>
      </c>
      <c r="B24" s="19" t="s">
        <v>42</v>
      </c>
      <c r="D24" s="6" t="s">
        <v>26</v>
      </c>
      <c r="E24" s="9">
        <f>Table1[[#This Row],[With Cover]]*1.4</f>
        <v>257.79599999999999</v>
      </c>
      <c r="F24" s="9">
        <f>B29*(B27/100)*11*31</f>
        <v>184.14000000000001</v>
      </c>
      <c r="G24" s="6"/>
      <c r="I24" s="6" t="s">
        <v>26</v>
      </c>
      <c r="J24" s="9">
        <v>0</v>
      </c>
      <c r="K24" s="9">
        <v>0</v>
      </c>
      <c r="L24" s="6"/>
      <c r="N24" s="6" t="s">
        <v>26</v>
      </c>
      <c r="O24" s="9">
        <v>0</v>
      </c>
      <c r="P24" s="9">
        <v>0</v>
      </c>
      <c r="Q24" s="6"/>
    </row>
    <row r="25" spans="1:17" ht="14.45" x14ac:dyDescent="0.3">
      <c r="D25" s="7" t="s">
        <v>27</v>
      </c>
      <c r="E25" s="10">
        <f>Table1[[#This Row],[With Cover]]*1.4</f>
        <v>158.76</v>
      </c>
      <c r="F25" s="10">
        <f>B29*(B27/100)*7*30</f>
        <v>113.4</v>
      </c>
      <c r="G25" s="7" t="s">
        <v>35</v>
      </c>
      <c r="I25" s="7" t="s">
        <v>27</v>
      </c>
      <c r="J25" s="10">
        <f>Table14[[#This Row],[With Cover]]*1.4</f>
        <v>158.76</v>
      </c>
      <c r="K25" s="10">
        <f>B29*(B27/100)*7*30</f>
        <v>113.4</v>
      </c>
      <c r="L25" s="7" t="s">
        <v>35</v>
      </c>
      <c r="N25" s="7" t="s">
        <v>27</v>
      </c>
      <c r="O25" s="10">
        <v>0</v>
      </c>
      <c r="P25" s="10">
        <v>0</v>
      </c>
      <c r="Q25" s="7" t="s">
        <v>35</v>
      </c>
    </row>
    <row r="26" spans="1:17" ht="14.45" x14ac:dyDescent="0.3">
      <c r="D26" s="7" t="s">
        <v>28</v>
      </c>
      <c r="E26" s="10">
        <f>Table1[[#This Row],[With Cover]]*1.4</f>
        <v>164.05199999999999</v>
      </c>
      <c r="F26" s="10">
        <f>B29*(B27/100)*7*31</f>
        <v>117.18</v>
      </c>
      <c r="G26" s="7"/>
      <c r="I26" s="7" t="s">
        <v>28</v>
      </c>
      <c r="J26" s="10">
        <f>Table14[[#This Row],[With Cover]]*1.4</f>
        <v>164.05199999999999</v>
      </c>
      <c r="K26" s="10">
        <f>B29*(B27/100)*7*31</f>
        <v>117.18</v>
      </c>
      <c r="L26" s="7"/>
      <c r="N26" s="7" t="s">
        <v>28</v>
      </c>
      <c r="O26" s="10">
        <f>Table145[[#This Row],[With Cover]]*1.4</f>
        <v>164.05199999999999</v>
      </c>
      <c r="P26" s="10">
        <f>B29*(B27/100)*7*31</f>
        <v>117.18</v>
      </c>
      <c r="Q26" s="7"/>
    </row>
    <row r="27" spans="1:17" x14ac:dyDescent="0.25">
      <c r="A27" t="s">
        <v>4</v>
      </c>
      <c r="B27" s="19">
        <v>30</v>
      </c>
      <c r="D27" s="7" t="s">
        <v>29</v>
      </c>
      <c r="E27" s="10">
        <f>Table1[[#This Row],[With Cover]]*1.4</f>
        <v>158.76</v>
      </c>
      <c r="F27" s="10">
        <f>B29*(B27/100)*7*30</f>
        <v>113.4</v>
      </c>
      <c r="G27" s="7"/>
      <c r="I27" s="7" t="s">
        <v>29</v>
      </c>
      <c r="J27" s="10">
        <f>Table14[[#This Row],[With Cover]]*1.4</f>
        <v>158.76</v>
      </c>
      <c r="K27" s="10">
        <f>B29*(B27/100)*7*30</f>
        <v>113.4</v>
      </c>
      <c r="L27" s="7"/>
      <c r="N27" s="7" t="s">
        <v>29</v>
      </c>
      <c r="O27" s="10">
        <f>Table145[[#This Row],[With Cover]]*1.4</f>
        <v>158.76</v>
      </c>
      <c r="P27" s="10">
        <f>B29*(B27/100)*7*30</f>
        <v>113.4</v>
      </c>
      <c r="Q27" s="7"/>
    </row>
    <row r="28" spans="1:17" x14ac:dyDescent="0.25">
      <c r="D28" s="5" t="s">
        <v>30</v>
      </c>
      <c r="E28" s="11">
        <f>Table1[[#This Row],[With Cover]]*1.4</f>
        <v>70.308000000000007</v>
      </c>
      <c r="F28" s="11">
        <f>B29*(B27/100)*3*31</f>
        <v>50.220000000000006</v>
      </c>
      <c r="G28" s="5" t="s">
        <v>33</v>
      </c>
      <c r="I28" s="5" t="s">
        <v>30</v>
      </c>
      <c r="J28" s="11">
        <f>Table14[[#This Row],[With Cover]]*1.4</f>
        <v>70.308000000000007</v>
      </c>
      <c r="K28" s="11">
        <f>B29*(B27/100)*3*31</f>
        <v>50.220000000000006</v>
      </c>
      <c r="L28" s="5" t="s">
        <v>33</v>
      </c>
      <c r="N28" s="5" t="s">
        <v>30</v>
      </c>
      <c r="O28" s="11">
        <f>Table145[[#This Row],[With Cover]]*1.4</f>
        <v>70.308000000000007</v>
      </c>
      <c r="P28" s="11">
        <f>B29*(B27/100)*3*31</f>
        <v>50.220000000000006</v>
      </c>
      <c r="Q28" s="5" t="s">
        <v>33</v>
      </c>
    </row>
    <row r="29" spans="1:17" x14ac:dyDescent="0.25">
      <c r="A29" t="s">
        <v>39</v>
      </c>
      <c r="B29" s="19">
        <v>1.8</v>
      </c>
      <c r="D29" t="s">
        <v>31</v>
      </c>
      <c r="E29" s="8">
        <f>Table1[[#This Row],[With Cover]]*1.4</f>
        <v>1937.6280000000002</v>
      </c>
      <c r="F29" s="8">
        <f>SUM(F16:F28)</f>
        <v>1384.0200000000002</v>
      </c>
      <c r="I29" t="s">
        <v>31</v>
      </c>
      <c r="J29" s="8">
        <f>SUM(J17:J28)</f>
        <v>1172.556</v>
      </c>
      <c r="K29" s="8">
        <f>SUM(K17:K28)</f>
        <v>837.54000000000008</v>
      </c>
      <c r="N29" t="s">
        <v>31</v>
      </c>
      <c r="O29" s="8">
        <f>SUM(O17:O28)</f>
        <v>690.98400000000004</v>
      </c>
      <c r="P29" s="8">
        <f>SUM(P17:P28)</f>
        <v>493.56000000000006</v>
      </c>
    </row>
    <row r="30" spans="1:17" ht="15.75" x14ac:dyDescent="0.25">
      <c r="D30" s="14" t="s">
        <v>40</v>
      </c>
      <c r="E30" s="15">
        <f>Table1[[#This Row],[With Cover]]*1.4</f>
        <v>1162.5768</v>
      </c>
      <c r="F30" s="16">
        <f>F29*0.6</f>
        <v>830.41200000000015</v>
      </c>
      <c r="G30" s="14"/>
      <c r="I30" s="14" t="s">
        <v>40</v>
      </c>
      <c r="J30" s="15">
        <f>Table14[[#This Row],[With Cover]]*1.4</f>
        <v>703.53359999999998</v>
      </c>
      <c r="K30" s="16">
        <f>K29*0.6</f>
        <v>502.524</v>
      </c>
      <c r="L30" s="14"/>
      <c r="N30" s="14" t="s">
        <v>40</v>
      </c>
      <c r="O30" s="15">
        <f>Table145[[#This Row],[With Cover]]*1.4</f>
        <v>414.59039999999999</v>
      </c>
      <c r="P30" s="16">
        <f>P29*0.6</f>
        <v>296.13600000000002</v>
      </c>
      <c r="Q30" s="14"/>
    </row>
    <row r="33" spans="1:6" x14ac:dyDescent="0.25">
      <c r="B33" s="2"/>
    </row>
    <row r="34" spans="1:6" x14ac:dyDescent="0.25">
      <c r="A34" t="s">
        <v>54</v>
      </c>
    </row>
    <row r="35" spans="1:6" ht="21" x14ac:dyDescent="0.35">
      <c r="A35" s="18">
        <f>B18</f>
        <v>38400</v>
      </c>
      <c r="B35" t="s">
        <v>45</v>
      </c>
      <c r="C35" t="s">
        <v>53</v>
      </c>
      <c r="D35" s="3" t="s">
        <v>46</v>
      </c>
      <c r="E35" s="3" t="s">
        <v>47</v>
      </c>
      <c r="F35" s="3" t="s">
        <v>48</v>
      </c>
    </row>
    <row r="36" spans="1:6" x14ac:dyDescent="0.25">
      <c r="B36" t="s">
        <v>43</v>
      </c>
      <c r="C36" s="6"/>
      <c r="D36" s="17">
        <v>40000</v>
      </c>
      <c r="E36" s="3">
        <f>D36*1.4</f>
        <v>56000</v>
      </c>
      <c r="F36" s="3">
        <f>D36*1.7</f>
        <v>68000</v>
      </c>
    </row>
    <row r="37" spans="1:6" x14ac:dyDescent="0.25">
      <c r="B37" t="s">
        <v>49</v>
      </c>
      <c r="C37" s="6"/>
      <c r="D37" s="17">
        <v>60000</v>
      </c>
      <c r="E37" s="3">
        <f>D37*1.4</f>
        <v>84000</v>
      </c>
      <c r="F37" s="3">
        <f>D37*1.6</f>
        <v>96000</v>
      </c>
    </row>
    <row r="38" spans="1:6" x14ac:dyDescent="0.25">
      <c r="B38" t="s">
        <v>50</v>
      </c>
      <c r="C38" s="6"/>
      <c r="D38" s="17">
        <v>70000</v>
      </c>
      <c r="E38" s="3">
        <f>D38*1.4</f>
        <v>98000</v>
      </c>
      <c r="F38" s="3">
        <f>D38*1.6</f>
        <v>112000</v>
      </c>
    </row>
    <row r="39" spans="1:6" x14ac:dyDescent="0.25">
      <c r="B39" t="s">
        <v>44</v>
      </c>
      <c r="C39" s="6"/>
      <c r="D39" s="17">
        <v>80000</v>
      </c>
      <c r="E39" s="3">
        <f>D39*1.2</f>
        <v>96000</v>
      </c>
      <c r="F39" s="3">
        <f>D39*1.4</f>
        <v>112000</v>
      </c>
    </row>
    <row r="40" spans="1:6" x14ac:dyDescent="0.25">
      <c r="B40" t="s">
        <v>51</v>
      </c>
      <c r="C40" s="6"/>
      <c r="D40" s="17">
        <v>110000</v>
      </c>
      <c r="E40" s="3">
        <f>D40*1.2</f>
        <v>132000</v>
      </c>
      <c r="F40" s="3">
        <f>D40*1.4</f>
        <v>154000</v>
      </c>
    </row>
    <row r="41" spans="1:6" x14ac:dyDescent="0.25">
      <c r="B41" t="s">
        <v>52</v>
      </c>
      <c r="C41" s="6"/>
      <c r="D41" s="17">
        <v>150000</v>
      </c>
      <c r="E41" s="3">
        <f>D41*1.2</f>
        <v>180000</v>
      </c>
      <c r="F41" s="3">
        <f>D41*1.4</f>
        <v>210000</v>
      </c>
    </row>
  </sheetData>
  <sheetProtection autoFilter="0"/>
  <pageMargins left="0.7" right="0.7" top="0.75" bottom="0.75" header="0.3" footer="0.3"/>
  <pageSetup paperSize="9" scale="50" fitToHeight="0" orientation="landscape" r:id="rId1"/>
  <drawing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Lookup!$H$2:$H$4</xm:f>
          </x14:formula1>
          <xm:sqref>B24</xm:sqref>
        </x14:dataValidation>
        <x14:dataValidation type="list" allowBlank="1" showInputMessage="1" showErrorMessage="1">
          <x14:formula1>
            <xm:f>Lookup!$D$2:$D$7</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1"/>
  <sheetViews>
    <sheetView showGridLines="0" topLeftCell="C1" workbookViewId="0">
      <selection activeCell="Q24" sqref="Q24"/>
    </sheetView>
  </sheetViews>
  <sheetFormatPr defaultColWidth="8.85546875" defaultRowHeight="15" x14ac:dyDescent="0.25"/>
  <cols>
    <col min="1" max="2" width="8.85546875" style="24"/>
    <col min="3" max="3" width="2.7109375" style="24" customWidth="1"/>
    <col min="4" max="4" width="15.7109375" style="24" customWidth="1"/>
    <col min="5" max="6" width="11.7109375" style="24" customWidth="1"/>
    <col min="7" max="7" width="3.85546875" style="24" customWidth="1"/>
    <col min="8" max="8" width="31.42578125" style="24" bestFit="1" customWidth="1"/>
    <col min="9" max="9" width="8.7109375" style="24" bestFit="1" customWidth="1"/>
    <col min="10" max="10" width="4.5703125" style="24" customWidth="1"/>
    <col min="11" max="11" width="15.28515625" style="24" customWidth="1"/>
    <col min="12" max="12" width="13.140625" style="24" customWidth="1"/>
    <col min="13" max="16" width="11" style="24" customWidth="1"/>
    <col min="17" max="17" width="14.5703125" style="24" customWidth="1"/>
    <col min="18" max="18" width="11" style="24" customWidth="1"/>
    <col min="19" max="19" width="11" style="58" customWidth="1"/>
    <col min="20" max="20" width="3.85546875" style="24" customWidth="1"/>
    <col min="21" max="21" width="13.5703125" style="24" bestFit="1" customWidth="1"/>
    <col min="22" max="22" width="37.42578125" style="24" bestFit="1" customWidth="1"/>
    <col min="23" max="23" width="3.85546875" style="24" customWidth="1"/>
    <col min="24" max="24" width="13" style="24" customWidth="1"/>
    <col min="25" max="25" width="11.28515625" style="24" customWidth="1"/>
    <col min="26" max="26" width="3.7109375" style="24" customWidth="1"/>
    <col min="27" max="28" width="8.85546875" style="24"/>
    <col min="29" max="29" width="3.28515625" style="24" customWidth="1"/>
    <col min="30" max="16384" width="8.85546875" style="24"/>
  </cols>
  <sheetData>
    <row r="1" spans="1:30" ht="43.15" x14ac:dyDescent="0.3">
      <c r="A1" s="44" t="s">
        <v>112</v>
      </c>
      <c r="B1" s="44" t="s">
        <v>113</v>
      </c>
      <c r="D1" s="43" t="s">
        <v>55</v>
      </c>
      <c r="E1" s="44" t="s">
        <v>88</v>
      </c>
      <c r="F1" s="44" t="s">
        <v>89</v>
      </c>
      <c r="G1" s="38"/>
      <c r="H1" s="43" t="s">
        <v>99</v>
      </c>
      <c r="I1" s="43" t="s">
        <v>36</v>
      </c>
      <c r="K1" s="41" t="s">
        <v>120</v>
      </c>
      <c r="L1" s="41" t="s">
        <v>87</v>
      </c>
      <c r="M1" s="41" t="s">
        <v>93</v>
      </c>
      <c r="N1" s="41" t="s">
        <v>94</v>
      </c>
      <c r="O1" s="41" t="s">
        <v>95</v>
      </c>
      <c r="P1" s="41" t="s">
        <v>116</v>
      </c>
      <c r="Q1" s="41" t="s">
        <v>117</v>
      </c>
      <c r="R1" s="41" t="s">
        <v>118</v>
      </c>
      <c r="S1" s="57" t="s">
        <v>119</v>
      </c>
      <c r="T1" s="40"/>
      <c r="U1" s="43" t="s">
        <v>120</v>
      </c>
      <c r="V1" s="43" t="s">
        <v>86</v>
      </c>
      <c r="X1" s="44" t="s">
        <v>66</v>
      </c>
      <c r="Y1" s="44" t="s">
        <v>89</v>
      </c>
      <c r="AA1" s="44" t="s">
        <v>107</v>
      </c>
      <c r="AB1" s="44" t="s">
        <v>108</v>
      </c>
    </row>
    <row r="2" spans="1:30" ht="14.45" x14ac:dyDescent="0.3">
      <c r="A2" s="24">
        <v>1.3</v>
      </c>
      <c r="B2" s="24">
        <v>0.6</v>
      </c>
      <c r="D2" s="24" t="s">
        <v>8</v>
      </c>
      <c r="E2" s="24">
        <v>1</v>
      </c>
      <c r="F2" s="24">
        <v>1</v>
      </c>
      <c r="H2" s="24" t="s">
        <v>42</v>
      </c>
      <c r="I2" s="24" t="s">
        <v>95</v>
      </c>
      <c r="K2" s="24" t="s">
        <v>81</v>
      </c>
      <c r="L2" s="24">
        <v>1.4</v>
      </c>
      <c r="M2" s="40">
        <v>0</v>
      </c>
      <c r="N2" s="40">
        <v>0</v>
      </c>
      <c r="O2" s="40">
        <v>0</v>
      </c>
      <c r="P2" s="56">
        <v>1</v>
      </c>
      <c r="Q2" s="65" t="b">
        <f>IF(Q1=TRUE,TRUE,HeaterModels[[#This Row],[Heater Rating]]=calRecomendedUnit)</f>
        <v>1</v>
      </c>
      <c r="R2" s="65">
        <f>COUNTIFS($Q$2:Q2,TRUE)</f>
        <v>1</v>
      </c>
      <c r="S2" s="66">
        <f t="shared" ref="S2:S8" si="0">IF(R2&lt;=1,1,P2*S1)</f>
        <v>1</v>
      </c>
      <c r="T2" s="40"/>
      <c r="U2" s="40" t="s">
        <v>81</v>
      </c>
      <c r="V2" s="40" t="s">
        <v>122</v>
      </c>
      <c r="X2" s="24">
        <v>25</v>
      </c>
      <c r="Y2" s="24">
        <v>0.9</v>
      </c>
      <c r="AA2" s="24" t="s">
        <v>19</v>
      </c>
      <c r="AB2" s="24">
        <v>3</v>
      </c>
      <c r="AD2" s="55"/>
    </row>
    <row r="3" spans="1:30" x14ac:dyDescent="0.25">
      <c r="D3" s="24" t="s">
        <v>5</v>
      </c>
      <c r="E3" s="24">
        <v>1</v>
      </c>
      <c r="F3" s="24">
        <v>1</v>
      </c>
      <c r="H3" s="24" t="s">
        <v>10</v>
      </c>
      <c r="I3" s="24" t="s">
        <v>94</v>
      </c>
      <c r="K3" s="24" t="s">
        <v>82</v>
      </c>
      <c r="L3" s="24">
        <v>1.73</v>
      </c>
      <c r="M3" s="40">
        <v>40000</v>
      </c>
      <c r="N3" s="40">
        <v>56000</v>
      </c>
      <c r="O3" s="40">
        <v>68000</v>
      </c>
      <c r="P3" s="56">
        <v>0.6</v>
      </c>
      <c r="Q3" s="65" t="b">
        <f>IF(Q2=TRUE,TRUE,HeaterModels[[#This Row],[Heater Rating]]=calRecomendedUnit)</f>
        <v>1</v>
      </c>
      <c r="R3" s="65">
        <f>COUNTIFS($Q$2:Q3,TRUE)</f>
        <v>2</v>
      </c>
      <c r="S3" s="66">
        <f t="shared" si="0"/>
        <v>0.6</v>
      </c>
      <c r="T3" s="40"/>
      <c r="U3" s="40"/>
      <c r="V3" s="40"/>
      <c r="X3" s="24">
        <v>26</v>
      </c>
      <c r="Y3" s="24">
        <v>0.95</v>
      </c>
      <c r="AA3" s="24" t="s">
        <v>20</v>
      </c>
      <c r="AB3" s="24">
        <v>3</v>
      </c>
    </row>
    <row r="4" spans="1:30" x14ac:dyDescent="0.25">
      <c r="D4" s="24" t="s">
        <v>133</v>
      </c>
      <c r="E4" s="24">
        <v>1.1000000000000001</v>
      </c>
      <c r="F4" s="24">
        <v>1.1000000000000001</v>
      </c>
      <c r="H4" s="24" t="s">
        <v>11</v>
      </c>
      <c r="I4" s="24" t="s">
        <v>93</v>
      </c>
      <c r="K4" s="24" t="s">
        <v>92</v>
      </c>
      <c r="L4" s="24">
        <v>2.2000000000000002</v>
      </c>
      <c r="M4" s="40">
        <v>60000</v>
      </c>
      <c r="N4" s="40">
        <v>84000</v>
      </c>
      <c r="O4" s="40">
        <v>96000</v>
      </c>
      <c r="P4" s="56">
        <v>0.6</v>
      </c>
      <c r="Q4" s="65" t="b">
        <f>IF(Q3=TRUE,TRUE,HeaterModels[[#This Row],[Heater Rating]]=calRecomendedUnit)</f>
        <v>1</v>
      </c>
      <c r="R4" s="65">
        <f>COUNTIFS($Q$2:Q4,TRUE)</f>
        <v>3</v>
      </c>
      <c r="S4" s="66">
        <f t="shared" si="0"/>
        <v>0.36</v>
      </c>
      <c r="T4" s="40"/>
      <c r="U4" s="40" t="s">
        <v>82</v>
      </c>
      <c r="V4" s="40" t="s">
        <v>130</v>
      </c>
      <c r="X4" s="24">
        <v>27</v>
      </c>
      <c r="Y4" s="24">
        <v>1</v>
      </c>
      <c r="AA4" s="24" t="s">
        <v>102</v>
      </c>
      <c r="AB4" s="24">
        <v>7</v>
      </c>
    </row>
    <row r="5" spans="1:30" x14ac:dyDescent="0.25">
      <c r="D5" s="24" t="s">
        <v>6</v>
      </c>
      <c r="E5" s="24">
        <v>1.1000000000000001</v>
      </c>
      <c r="F5" s="24">
        <v>1.1000000000000001</v>
      </c>
      <c r="K5" s="24" t="s">
        <v>83</v>
      </c>
      <c r="L5" s="24">
        <v>2.6</v>
      </c>
      <c r="M5" s="40">
        <v>70000</v>
      </c>
      <c r="N5" s="40">
        <v>96000</v>
      </c>
      <c r="O5" s="40">
        <v>112000</v>
      </c>
      <c r="P5" s="56">
        <v>0.6</v>
      </c>
      <c r="Q5" s="65" t="b">
        <f>IF(Q4=TRUE,TRUE,HeaterModels[[#This Row],[Heater Rating]]=calRecomendedUnit)</f>
        <v>1</v>
      </c>
      <c r="R5" s="65">
        <f>COUNTIFS($Q$2:Q5,TRUE)</f>
        <v>4</v>
      </c>
      <c r="S5" s="66">
        <f t="shared" si="0"/>
        <v>0.216</v>
      </c>
      <c r="T5" s="40"/>
      <c r="U5" s="40"/>
      <c r="V5" s="40"/>
      <c r="X5" s="24">
        <v>28</v>
      </c>
      <c r="Y5" s="24">
        <v>1</v>
      </c>
      <c r="AA5" s="24" t="s">
        <v>103</v>
      </c>
      <c r="AB5" s="24">
        <v>7</v>
      </c>
    </row>
    <row r="6" spans="1:30" x14ac:dyDescent="0.25">
      <c r="D6" s="24" t="s">
        <v>7</v>
      </c>
      <c r="E6" s="24">
        <v>1.1499999999999999</v>
      </c>
      <c r="F6" s="24">
        <v>1.1499999999999999</v>
      </c>
      <c r="K6" s="24" t="s">
        <v>84</v>
      </c>
      <c r="L6" s="24">
        <v>3.3</v>
      </c>
      <c r="M6" s="40">
        <v>80000</v>
      </c>
      <c r="N6" s="40">
        <v>98000</v>
      </c>
      <c r="O6" s="40">
        <v>112000</v>
      </c>
      <c r="P6" s="56">
        <v>0.6</v>
      </c>
      <c r="Q6" s="65" t="b">
        <f>IF(Q5=TRUE,TRUE,HeaterModels[[#This Row],[Heater Rating]]=calRecomendedUnit)</f>
        <v>1</v>
      </c>
      <c r="R6" s="65">
        <f>COUNTIFS($Q$2:Q6,TRUE)</f>
        <v>5</v>
      </c>
      <c r="S6" s="66">
        <f t="shared" si="0"/>
        <v>0.12959999999999999</v>
      </c>
      <c r="T6" s="40"/>
      <c r="U6" s="40" t="s">
        <v>92</v>
      </c>
      <c r="V6" s="40" t="s">
        <v>131</v>
      </c>
      <c r="X6" s="24">
        <v>29</v>
      </c>
      <c r="Y6" s="24">
        <v>1</v>
      </c>
      <c r="AA6" s="24" t="s">
        <v>23</v>
      </c>
      <c r="AB6" s="24">
        <v>7</v>
      </c>
    </row>
    <row r="7" spans="1:30" x14ac:dyDescent="0.25">
      <c r="D7" s="24" t="s">
        <v>9</v>
      </c>
      <c r="E7" s="24">
        <v>1.3</v>
      </c>
      <c r="F7" s="24">
        <v>1.3</v>
      </c>
      <c r="K7" s="24" t="s">
        <v>85</v>
      </c>
      <c r="L7" s="24">
        <v>3.8</v>
      </c>
      <c r="M7" s="40">
        <v>110000</v>
      </c>
      <c r="N7" s="40">
        <v>132000</v>
      </c>
      <c r="O7" s="40">
        <v>154000</v>
      </c>
      <c r="P7" s="56">
        <v>0.6</v>
      </c>
      <c r="Q7" s="65" t="b">
        <f>IF(Q6=TRUE,TRUE,HeaterModels[[#This Row],[Heater Rating]]=calRecomendedUnit)</f>
        <v>1</v>
      </c>
      <c r="R7" s="65">
        <f>COUNTIFS($Q$2:Q7,TRUE)</f>
        <v>6</v>
      </c>
      <c r="S7" s="66">
        <f t="shared" si="0"/>
        <v>7.7759999999999996E-2</v>
      </c>
      <c r="T7" s="40"/>
      <c r="U7" s="40" t="s">
        <v>92</v>
      </c>
      <c r="V7" s="40" t="s">
        <v>134</v>
      </c>
      <c r="X7" s="24">
        <v>30</v>
      </c>
      <c r="Y7" s="24">
        <v>1.05</v>
      </c>
      <c r="AA7" s="24" t="s">
        <v>104</v>
      </c>
      <c r="AB7" s="24">
        <v>11</v>
      </c>
    </row>
    <row r="8" spans="1:30" x14ac:dyDescent="0.25">
      <c r="D8" s="24" t="s">
        <v>132</v>
      </c>
      <c r="E8" s="24">
        <v>1.3</v>
      </c>
      <c r="F8" s="24">
        <v>1.3</v>
      </c>
      <c r="K8" s="24" t="s">
        <v>138</v>
      </c>
      <c r="L8" s="24">
        <v>5.2</v>
      </c>
      <c r="M8" s="40">
        <v>150000</v>
      </c>
      <c r="N8" s="40">
        <v>180000</v>
      </c>
      <c r="O8" s="40">
        <v>210000</v>
      </c>
      <c r="P8" s="56">
        <v>0.5</v>
      </c>
      <c r="Q8" s="65" t="b">
        <f>IF(Q7=TRUE,TRUE,HeaterModels[[#This Row],[Heater Rating]]=calRecomendedUnit)</f>
        <v>1</v>
      </c>
      <c r="R8" s="65">
        <f>COUNTIFS($Q$2:Q8,TRUE)</f>
        <v>7</v>
      </c>
      <c r="S8" s="66">
        <f t="shared" si="0"/>
        <v>3.8879999999999998E-2</v>
      </c>
      <c r="T8" s="40"/>
      <c r="U8" s="24" t="s">
        <v>83</v>
      </c>
      <c r="V8" s="40" t="s">
        <v>131</v>
      </c>
      <c r="X8" s="24">
        <v>31</v>
      </c>
      <c r="Y8" s="24">
        <v>1.1000000000000001</v>
      </c>
      <c r="AA8" s="24" t="s">
        <v>105</v>
      </c>
      <c r="AB8" s="24">
        <v>11</v>
      </c>
    </row>
    <row r="9" spans="1:30" x14ac:dyDescent="0.25">
      <c r="U9" s="24" t="s">
        <v>83</v>
      </c>
      <c r="V9" s="40" t="s">
        <v>135</v>
      </c>
      <c r="X9" s="24">
        <v>32</v>
      </c>
      <c r="Y9" s="24">
        <v>1.1000000000000001</v>
      </c>
      <c r="AA9" s="24" t="s">
        <v>26</v>
      </c>
      <c r="AB9" s="24">
        <v>11</v>
      </c>
    </row>
    <row r="10" spans="1:30" x14ac:dyDescent="0.25">
      <c r="V10" s="40"/>
      <c r="AA10" s="24" t="s">
        <v>106</v>
      </c>
      <c r="AB10" s="24">
        <v>7</v>
      </c>
    </row>
    <row r="11" spans="1:30" x14ac:dyDescent="0.25">
      <c r="U11" s="24" t="s">
        <v>84</v>
      </c>
      <c r="V11" s="40" t="s">
        <v>136</v>
      </c>
      <c r="AA11" s="24" t="s">
        <v>28</v>
      </c>
      <c r="AB11" s="24">
        <v>7</v>
      </c>
    </row>
    <row r="12" spans="1:30" x14ac:dyDescent="0.25">
      <c r="U12" s="24" t="s">
        <v>85</v>
      </c>
      <c r="V12" s="24" t="s">
        <v>137</v>
      </c>
      <c r="AA12" s="24" t="s">
        <v>29</v>
      </c>
      <c r="AB12" s="24">
        <v>7</v>
      </c>
    </row>
    <row r="13" spans="1:30" x14ac:dyDescent="0.25">
      <c r="U13" s="24" t="s">
        <v>138</v>
      </c>
      <c r="V13" s="24" t="s">
        <v>139</v>
      </c>
      <c r="AA13" s="24" t="s">
        <v>30</v>
      </c>
      <c r="AB13" s="24">
        <v>3</v>
      </c>
    </row>
    <row r="29" spans="19:19" x14ac:dyDescent="0.25">
      <c r="S29" s="60"/>
    </row>
    <row r="30" spans="19:19" x14ac:dyDescent="0.25">
      <c r="S30" s="59"/>
    </row>
    <row r="31" spans="19:19" x14ac:dyDescent="0.25">
      <c r="S31" s="60"/>
    </row>
  </sheetData>
  <sortState ref="E2:E7">
    <sortCondition descending="1" ref="E2"/>
  </sortState>
  <dataValidations count="2">
    <dataValidation type="list" allowBlank="1" showInputMessage="1" showErrorMessage="1" sqref="U2:U1048576">
      <formula1>OFFSET($K$1,1,0,COUNTA($K:$K)-1,1)</formula1>
    </dataValidation>
    <dataValidation type="list" allowBlank="1" showInputMessage="1" showErrorMessage="1" errorTitle="Data Entry Error" error="Please select from drop down list" sqref="U2:U1048576">
      <formula1>OFFSET($K$1,1,0,COUNTA($K:$K)-1,1)</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3"/>
  <sheetViews>
    <sheetView showGridLines="0" workbookViewId="0">
      <selection activeCell="L32" sqref="L32"/>
    </sheetView>
  </sheetViews>
  <sheetFormatPr defaultColWidth="8.7109375" defaultRowHeight="15" x14ac:dyDescent="0.25"/>
  <cols>
    <col min="1" max="1" width="2.5703125" style="24" customWidth="1"/>
    <col min="2" max="2" width="24.85546875" style="24" bestFit="1" customWidth="1"/>
    <col min="3" max="3" width="11" style="42" bestFit="1" customWidth="1"/>
    <col min="4" max="4" width="9.85546875" style="24" customWidth="1"/>
    <col min="5" max="16384" width="8.7109375" style="24"/>
  </cols>
  <sheetData>
    <row r="1" spans="1:4" ht="18" x14ac:dyDescent="0.35">
      <c r="A1" s="39" t="s">
        <v>67</v>
      </c>
    </row>
    <row r="3" spans="1:4" ht="14.45" x14ac:dyDescent="0.3">
      <c r="A3" s="38">
        <v>1</v>
      </c>
      <c r="B3" s="38" t="s">
        <v>90</v>
      </c>
    </row>
    <row r="4" spans="1:4" ht="14.45" x14ac:dyDescent="0.3">
      <c r="B4" s="24" t="s">
        <v>88</v>
      </c>
      <c r="C4" s="67">
        <f>INDEX(Lookup!E:E,MATCH(txtLocation,Lookup!D:D,0))</f>
        <v>1</v>
      </c>
    </row>
    <row r="5" spans="1:4" ht="14.45" x14ac:dyDescent="0.3">
      <c r="B5" s="24" t="s">
        <v>91</v>
      </c>
      <c r="C5" s="68">
        <f>calPoolCapacity*C4</f>
        <v>0</v>
      </c>
      <c r="D5" s="24" t="s">
        <v>1</v>
      </c>
    </row>
    <row r="6" spans="1:4" ht="14.45" x14ac:dyDescent="0.3">
      <c r="B6" s="24" t="s">
        <v>96</v>
      </c>
      <c r="C6" s="67" t="str">
        <f>INDEX(Lookup!I:I,MATCH(txtSeason,Lookup!H:H,0))</f>
        <v>Full Year</v>
      </c>
    </row>
    <row r="7" spans="1:4" ht="14.45" x14ac:dyDescent="0.3">
      <c r="B7" s="24" t="s">
        <v>90</v>
      </c>
      <c r="C7" s="67" t="str">
        <f>INDEX(HeaterModels[Heater Rating],MATCH(C5,INDEX(HeaterModels[],0,MATCH(C6,HeaterModels[#Headers],0)),1))</f>
        <v>9kw Model</v>
      </c>
    </row>
    <row r="8" spans="1:4" ht="14.45" x14ac:dyDescent="0.3">
      <c r="B8" s="24" t="s">
        <v>126</v>
      </c>
      <c r="C8" s="67" t="str">
        <f>calSelectedHeater</f>
        <v>None</v>
      </c>
    </row>
    <row r="9" spans="1:4" ht="14.45" x14ac:dyDescent="0.3">
      <c r="B9" s="24" t="s">
        <v>97</v>
      </c>
      <c r="C9" s="67">
        <f>INDEX(HeaterModels[Kw PH Draw],MATCH(IF(C8="None",C7,C8),HeaterModels[Heater Rating],0))</f>
        <v>1.4</v>
      </c>
      <c r="D9" s="24" t="s">
        <v>98</v>
      </c>
    </row>
    <row r="10" spans="1:4" ht="14.45" x14ac:dyDescent="0.3">
      <c r="B10" s="24" t="s">
        <v>110</v>
      </c>
      <c r="C10" s="69">
        <f>txtPowerCost*C9/100</f>
        <v>0.42</v>
      </c>
    </row>
    <row r="11" spans="1:4" ht="14.45" x14ac:dyDescent="0.3">
      <c r="B11" s="24" t="s">
        <v>101</v>
      </c>
      <c r="C11" s="67">
        <f>INDEX(Lookup!Y:Y,MATCH(txtPoolTemp,Lookup!X:X,0))</f>
        <v>1</v>
      </c>
    </row>
    <row r="12" spans="1:4" ht="14.45" x14ac:dyDescent="0.3">
      <c r="B12" s="24" t="s">
        <v>109</v>
      </c>
      <c r="C12" s="67">
        <f>INDEX(Lookup!F:F,MATCH(txtLocation,Lookup!D:D,0))</f>
        <v>1</v>
      </c>
    </row>
    <row r="13" spans="1:4" ht="14.45" x14ac:dyDescent="0.3">
      <c r="B13" s="24" t="s">
        <v>129</v>
      </c>
      <c r="C13" s="67">
        <f>IF(calSelectedHeater="None",1,INDEX(Lookup!S:S,MATCH(calSelectedHeater,Lookup!K:K,0)))</f>
        <v>1</v>
      </c>
    </row>
    <row r="15" spans="1:4" ht="14.45" x14ac:dyDescent="0.3">
      <c r="A15" s="38">
        <v>2</v>
      </c>
      <c r="B15" s="38" t="s">
        <v>100</v>
      </c>
    </row>
    <row r="16" spans="1:4" ht="28.9" x14ac:dyDescent="0.3">
      <c r="B16" s="24" t="s">
        <v>18</v>
      </c>
      <c r="C16" s="45" t="s">
        <v>100</v>
      </c>
      <c r="D16" s="45" t="s">
        <v>111</v>
      </c>
    </row>
    <row r="17" spans="1:4" ht="14.45" x14ac:dyDescent="0.3">
      <c r="B17" s="24" t="s">
        <v>19</v>
      </c>
      <c r="C17" s="67">
        <f>INDEX(Lookup!AB:AB,MATCH(B17,Lookup!AA:AA,0))*calPoolTempFactor*calLocationHoursFactor*calUpgradeFactor</f>
        <v>3</v>
      </c>
      <c r="D17" s="70">
        <f>C17*31</f>
        <v>93</v>
      </c>
    </row>
    <row r="18" spans="1:4" ht="14.45" x14ac:dyDescent="0.3">
      <c r="B18" s="24" t="s">
        <v>20</v>
      </c>
      <c r="C18" s="67">
        <f>INDEX(Lookup!AB:AB,MATCH(B18,Lookup!AA:AA,0))*calPoolTempFactor*calLocationHoursFactor*calUpgradeFactor</f>
        <v>3</v>
      </c>
      <c r="D18" s="70">
        <f>C18*28</f>
        <v>84</v>
      </c>
    </row>
    <row r="19" spans="1:4" ht="14.45" x14ac:dyDescent="0.3">
      <c r="B19" s="24" t="s">
        <v>102</v>
      </c>
      <c r="C19" s="67">
        <f>INDEX(Lookup!AB:AB,MATCH(B19,Lookup!AA:AA,0))*calPoolTempFactor*calLocationHoursFactor*calUpgradeFactor</f>
        <v>7</v>
      </c>
      <c r="D19" s="70">
        <f t="shared" ref="D19:D28" si="0">C19*31</f>
        <v>217</v>
      </c>
    </row>
    <row r="20" spans="1:4" ht="14.45" x14ac:dyDescent="0.3">
      <c r="B20" s="24" t="s">
        <v>103</v>
      </c>
      <c r="C20" s="67">
        <f>INDEX(Lookup!AB:AB,MATCH(B20,Lookup!AA:AA,0))*calPoolTempFactor*calLocationHoursFactor*calUpgradeFactor</f>
        <v>7</v>
      </c>
      <c r="D20" s="70">
        <f>C20*30</f>
        <v>210</v>
      </c>
    </row>
    <row r="21" spans="1:4" ht="14.45" x14ac:dyDescent="0.3">
      <c r="B21" s="24" t="s">
        <v>23</v>
      </c>
      <c r="C21" s="67">
        <f>INDEX(Lookup!AB:AB,MATCH(B21,Lookup!AA:AA,0))*calPoolTempFactor*calLocationHoursFactor*calUpgradeFactor</f>
        <v>7</v>
      </c>
      <c r="D21" s="70">
        <f t="shared" si="0"/>
        <v>217</v>
      </c>
    </row>
    <row r="22" spans="1:4" ht="14.45" x14ac:dyDescent="0.3">
      <c r="B22" s="24" t="s">
        <v>104</v>
      </c>
      <c r="C22" s="67">
        <f>INDEX(Lookup!AB:AB,MATCH(B22,Lookup!AA:AA,0))*calPoolTempFactor*calLocationHoursFactor*calUpgradeFactor</f>
        <v>11</v>
      </c>
      <c r="D22" s="70">
        <f>C22*30</f>
        <v>330</v>
      </c>
    </row>
    <row r="23" spans="1:4" x14ac:dyDescent="0.25">
      <c r="B23" s="24" t="s">
        <v>105</v>
      </c>
      <c r="C23" s="67">
        <f>INDEX(Lookup!AB:AB,MATCH(B23,Lookup!AA:AA,0))*calPoolTempFactor*calLocationHoursFactor*calUpgradeFactor</f>
        <v>11</v>
      </c>
      <c r="D23" s="70">
        <f t="shared" si="0"/>
        <v>341</v>
      </c>
    </row>
    <row r="24" spans="1:4" x14ac:dyDescent="0.25">
      <c r="B24" s="24" t="s">
        <v>26</v>
      </c>
      <c r="C24" s="67">
        <f>INDEX(Lookup!AB:AB,MATCH(B24,Lookup!AA:AA,0))*calPoolTempFactor*calLocationHoursFactor*calUpgradeFactor</f>
        <v>11</v>
      </c>
      <c r="D24" s="70">
        <f t="shared" si="0"/>
        <v>341</v>
      </c>
    </row>
    <row r="25" spans="1:4" x14ac:dyDescent="0.25">
      <c r="B25" s="24" t="s">
        <v>106</v>
      </c>
      <c r="C25" s="67">
        <f>INDEX(Lookup!AB:AB,MATCH(B25,Lookup!AA:AA,0))*calPoolTempFactor*calLocationHoursFactor*calUpgradeFactor</f>
        <v>7</v>
      </c>
      <c r="D25" s="70">
        <f>C25*30</f>
        <v>210</v>
      </c>
    </row>
    <row r="26" spans="1:4" x14ac:dyDescent="0.25">
      <c r="B26" s="24" t="s">
        <v>28</v>
      </c>
      <c r="C26" s="67">
        <f>INDEX(Lookup!AB:AB,MATCH(B26,Lookup!AA:AA,0))*calPoolTempFactor*calLocationHoursFactor*calUpgradeFactor</f>
        <v>7</v>
      </c>
      <c r="D26" s="70">
        <f t="shared" si="0"/>
        <v>217</v>
      </c>
    </row>
    <row r="27" spans="1:4" x14ac:dyDescent="0.25">
      <c r="B27" s="24" t="s">
        <v>29</v>
      </c>
      <c r="C27" s="67">
        <f>INDEX(Lookup!AB:AB,MATCH(B27,Lookup!AA:AA,0))*calPoolTempFactor*calLocationHoursFactor*calUpgradeFactor</f>
        <v>7</v>
      </c>
      <c r="D27" s="70">
        <f>C27*30</f>
        <v>210</v>
      </c>
    </row>
    <row r="28" spans="1:4" x14ac:dyDescent="0.25">
      <c r="B28" s="24" t="s">
        <v>30</v>
      </c>
      <c r="C28" s="67">
        <f>INDEX(Lookup!AB:AB,MATCH(B28,Lookup!AA:AA,0))*calPoolTempFactor*calLocationHoursFactor*calUpgradeFactor</f>
        <v>3</v>
      </c>
      <c r="D28" s="70">
        <f t="shared" si="0"/>
        <v>93</v>
      </c>
    </row>
    <row r="30" spans="1:4" x14ac:dyDescent="0.25">
      <c r="A30" s="38">
        <v>3</v>
      </c>
      <c r="B30" s="38" t="s">
        <v>121</v>
      </c>
    </row>
    <row r="31" spans="1:4" x14ac:dyDescent="0.25">
      <c r="B31" s="70" t="str">
        <f>IF(COUNTIFS(Lookup!U:U,calRecomendedUnit)&gt;=C31,INDEX(Lookup!V:V,MATCH(calRecomendedUnit,Lookup!U:U,0)+C31-1),"")</f>
        <v>Aquatight Saturn Inverter Model iX09</v>
      </c>
      <c r="C31" s="42">
        <v>1</v>
      </c>
    </row>
    <row r="32" spans="1:4" x14ac:dyDescent="0.25">
      <c r="B32" s="70" t="str">
        <f>IF(COUNTIFS(Lookup!U:U,calRecomendedUnit)&gt;=C32,INDEX(Lookup!V:V,MATCH(calRecomendedUnit,Lookup!U:U,0)+C32-1),"")</f>
        <v/>
      </c>
      <c r="C32" s="42">
        <v>2</v>
      </c>
    </row>
    <row r="33" spans="1:3" x14ac:dyDescent="0.25">
      <c r="B33" s="70" t="str">
        <f>IF(COUNTIFS(Lookup!U:U,calRecomendedUnit)&gt;=C33,INDEX(Lookup!V:V,MATCH(calRecomendedUnit,Lookup!U:U,0)+C33-1),"")</f>
        <v/>
      </c>
      <c r="C33" s="42">
        <v>3</v>
      </c>
    </row>
    <row r="34" spans="1:3" x14ac:dyDescent="0.25">
      <c r="B34" s="70" t="str">
        <f>IF(COUNTIFS(Lookup!U:U,calRecomendedUnit)&gt;=C34,INDEX(Lookup!V:V,MATCH(calRecomendedUnit,Lookup!U:U,0)+C34-1),"")</f>
        <v/>
      </c>
      <c r="C34" s="42">
        <v>4</v>
      </c>
    </row>
    <row r="35" spans="1:3" x14ac:dyDescent="0.25">
      <c r="B35" s="70" t="str">
        <f>IF(COUNTIFS(Lookup!U:U,calRecomendedUnit)&gt;=C35,INDEX(Lookup!V:V,MATCH(calRecomendedUnit,Lookup!U:U,0)+C35-1),"")</f>
        <v/>
      </c>
      <c r="C35" s="42">
        <v>5</v>
      </c>
    </row>
    <row r="38" spans="1:3" x14ac:dyDescent="0.25">
      <c r="A38" s="38">
        <v>4</v>
      </c>
      <c r="B38" s="38" t="s">
        <v>127</v>
      </c>
    </row>
    <row r="39" spans="1:3" x14ac:dyDescent="0.25">
      <c r="B39" s="24" t="s">
        <v>128</v>
      </c>
    </row>
    <row r="40" spans="1:3" x14ac:dyDescent="0.25">
      <c r="B40" s="70" t="str">
        <f>IFERROR(INDEX(Lookup!K:K,MATCH(C40,Lookup!R:R,0)),"")</f>
        <v>12kw Model</v>
      </c>
      <c r="C40" s="42">
        <v>2</v>
      </c>
    </row>
    <row r="41" spans="1:3" x14ac:dyDescent="0.25">
      <c r="B41" s="70" t="str">
        <f>IFERROR(INDEX(Lookup!K:K,MATCH(C41,Lookup!R:R,0)),"")</f>
        <v>14kw Model</v>
      </c>
      <c r="C41" s="42">
        <v>3</v>
      </c>
    </row>
    <row r="42" spans="1:3" x14ac:dyDescent="0.25">
      <c r="B42" s="70" t="str">
        <f>IFERROR(INDEX(Lookup!K:K,MATCH(C42,Lookup!R:R,0)),"")</f>
        <v>16kw Model</v>
      </c>
      <c r="C42" s="42">
        <v>4</v>
      </c>
    </row>
    <row r="43" spans="1:3" x14ac:dyDescent="0.25">
      <c r="B43" s="70" t="str">
        <f>IFERROR(INDEX(Lookup!K:K,MATCH(C43,Lookup!R:R,0)),"")</f>
        <v>23kw Model</v>
      </c>
      <c r="C43" s="42">
        <v>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Heat Pump Calculator</vt:lpstr>
      <vt:lpstr>Sheet1</vt:lpstr>
      <vt:lpstr>Lookup</vt:lpstr>
      <vt:lpstr>Calculations</vt:lpstr>
      <vt:lpstr>Sheet2</vt:lpstr>
      <vt:lpstr>calCostPerHour</vt:lpstr>
      <vt:lpstr>calLocationHoursFactor</vt:lpstr>
      <vt:lpstr>calPoolCapacity</vt:lpstr>
      <vt:lpstr>calPoolTempFactor</vt:lpstr>
      <vt:lpstr>calPowerDraw</vt:lpstr>
      <vt:lpstr>calRecomendedUnit</vt:lpstr>
      <vt:lpstr>calSeason</vt:lpstr>
      <vt:lpstr>calSelectedHeater</vt:lpstr>
      <vt:lpstr>calUpgradeFactor</vt:lpstr>
      <vt:lpstr>ddUpgradeHeaters</vt:lpstr>
      <vt:lpstr>InverterFactor</vt:lpstr>
      <vt:lpstr>Location</vt:lpstr>
      <vt:lpstr>NoCoverFactor</vt:lpstr>
      <vt:lpstr>'Heat Pump Calculator'!Print_Area</vt:lpstr>
      <vt:lpstr>txtLocation</vt:lpstr>
      <vt:lpstr>txtPoolCover</vt:lpstr>
      <vt:lpstr>txtPoolTemp</vt:lpstr>
      <vt:lpstr>txtPowerCost</vt:lpstr>
      <vt:lpstr>txtSeason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 Craig</dc:creator>
  <cp:lastModifiedBy>Grant Craig</cp:lastModifiedBy>
  <cp:lastPrinted>2019-08-26T02:21:24Z</cp:lastPrinted>
  <dcterms:created xsi:type="dcterms:W3CDTF">2017-09-19T06:36:22Z</dcterms:created>
  <dcterms:modified xsi:type="dcterms:W3CDTF">2020-10-19T08:32:53Z</dcterms:modified>
</cp:coreProperties>
</file>